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765" windowWidth="9360" windowHeight="4980" activeTab="0"/>
  </bookViews>
  <sheets>
    <sheet name="A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  <sheet name="2005" sheetId="12" r:id="rId12"/>
    <sheet name="2006" sheetId="13" r:id="rId13"/>
    <sheet name="Graph 1" sheetId="14" r:id="rId14"/>
    <sheet name="Graph 2" sheetId="15" r:id="rId15"/>
    <sheet name="Graph 3" sheetId="16" r:id="rId16"/>
    <sheet name="Graph 4" sheetId="17" r:id="rId17"/>
    <sheet name="Graph 5" sheetId="18" r:id="rId18"/>
    <sheet name="Graph 6" sheetId="19" r:id="rId19"/>
  </sheets>
  <definedNames>
    <definedName name="__123Graph_AGRAPH1" hidden="1">'A'!$C$4:$C$12</definedName>
    <definedName name="__123Graph_AGRAPH2" hidden="1">'A'!$N$4:$N$12</definedName>
    <definedName name="__123Graph_AGRAPH3" hidden="1">'A'!$C$4:$C$12</definedName>
    <definedName name="__123Graph_BGRAPH1" hidden="1">'A'!$E$4:$E$12</definedName>
    <definedName name="__123Graph_BGRAPH3" hidden="1">'A'!$E$4:$E$12</definedName>
    <definedName name="__123Graph_CGRAPH1" hidden="1">'A'!$G$4:$G$12</definedName>
    <definedName name="__123Graph_CGRAPH3" hidden="1">'A'!$G$4:$G$12</definedName>
    <definedName name="__123Graph_DGRAPH1" hidden="1">'A'!$I$4:$I$12</definedName>
    <definedName name="__123Graph_DGRAPH3" hidden="1">'A'!$I$4:$I$12</definedName>
    <definedName name="__123Graph_EGRAPH1" hidden="1">'A'!$K$4:$K$12</definedName>
    <definedName name="__123Graph_EGRAPH3" hidden="1">'A'!$K$4:$K$12</definedName>
    <definedName name="__123Graph_FGRAPH1" hidden="1">'A'!$M$4:$M$12</definedName>
    <definedName name="__123Graph_FGRAPH3" hidden="1">'A'!$N$4:$N$12</definedName>
    <definedName name="__123Graph_XGRAPH1" hidden="1">'A'!$A$4:$A$12</definedName>
    <definedName name="__123Graph_XGRAPH2" hidden="1">'A'!$A$4:$A$12</definedName>
    <definedName name="__123Graph_XGRAPH3" hidden="1">'A'!$A$4:$A$12</definedName>
  </definedNames>
  <calcPr fullCalcOnLoad="1"/>
</workbook>
</file>

<file path=xl/sharedStrings.xml><?xml version="1.0" encoding="utf-8"?>
<sst xmlns="http://schemas.openxmlformats.org/spreadsheetml/2006/main" count="171" uniqueCount="130">
  <si>
    <t>Rush Creek Piezometer Readings (depth to groundwater in inches)</t>
  </si>
  <si>
    <t>(cfs)</t>
  </si>
  <si>
    <t>DATE</t>
  </si>
  <si>
    <t>1</t>
  </si>
  <si>
    <t>2</t>
  </si>
  <si>
    <t>3</t>
  </si>
  <si>
    <t>4</t>
  </si>
  <si>
    <t>5</t>
  </si>
  <si>
    <t>6</t>
  </si>
  <si>
    <t>Rush + Parker + Walker</t>
  </si>
  <si>
    <t>Ch10 dry</t>
  </si>
  <si>
    <t>Ch10 flwng</t>
  </si>
  <si>
    <t>&gt;100</t>
  </si>
  <si>
    <t>Note:  Rush+Parker+Walker Creek flow were obtained from aqueduct reports.</t>
  </si>
  <si>
    <t xml:space="preserve">This flow is not necessarily accurate for the time of day that the piezometers </t>
  </si>
  <si>
    <t>were read, and Parker and Walker Creek Flow was sometimes from adjacent</t>
  </si>
  <si>
    <t>days.  This column is intended to give a general idea of the flow.</t>
  </si>
  <si>
    <t>Time</t>
  </si>
  <si>
    <t>9:45-11:20</t>
  </si>
  <si>
    <t>10:00-10:20</t>
  </si>
  <si>
    <t>9:45-10:05</t>
  </si>
  <si>
    <t>9:50-10:10</t>
  </si>
  <si>
    <t>10:30-11:00</t>
  </si>
  <si>
    <t>10:45-11:15</t>
  </si>
  <si>
    <t>10:40-11:10</t>
  </si>
  <si>
    <t>11:00-11:30</t>
  </si>
  <si>
    <t>10:40-11:00</t>
  </si>
  <si>
    <t>11:00-11:20</t>
  </si>
  <si>
    <t>9:30-10:00</t>
  </si>
  <si>
    <t>15:00-15:30</t>
  </si>
  <si>
    <t>16:00-16:30</t>
  </si>
  <si>
    <t>15:00-15:20</t>
  </si>
  <si>
    <t>11:45-12:05</t>
  </si>
  <si>
    <t>10:20-10:45</t>
  </si>
  <si>
    <t>14:00-14:30</t>
  </si>
  <si>
    <t>17:00-18:00</t>
  </si>
  <si>
    <t>12:30-1:00</t>
  </si>
  <si>
    <t>14:50-15:20</t>
  </si>
  <si>
    <t>dry</t>
  </si>
  <si>
    <t>14:45-15:10</t>
  </si>
  <si>
    <t>15:20-15:35</t>
  </si>
  <si>
    <t>16:00-16:20</t>
  </si>
  <si>
    <t>9:50-10:36</t>
  </si>
  <si>
    <t>8:00-8:30</t>
  </si>
  <si>
    <t>Grant spills</t>
  </si>
  <si>
    <t>16:30-17:00</t>
  </si>
  <si>
    <t>11:30-12:00</t>
  </si>
  <si>
    <t>creek 8" lower</t>
  </si>
  <si>
    <t>11:45-12:15</t>
  </si>
  <si>
    <t>Grant stops spill</t>
  </si>
  <si>
    <t>16:05-16:30</t>
  </si>
  <si>
    <t>10:45-11:10</t>
  </si>
  <si>
    <t>14:20-15:00</t>
  </si>
  <si>
    <t>16:15-16:45</t>
  </si>
  <si>
    <t>&gt;93.5</t>
  </si>
  <si>
    <t>13:15-13:45</t>
  </si>
  <si>
    <t>remeasured heights of piezometers</t>
  </si>
  <si>
    <t>13:50-14:05</t>
  </si>
  <si>
    <t>9:45-10:20</t>
  </si>
  <si>
    <t>10:00-10:40</t>
  </si>
  <si>
    <t>11:40-12:15</t>
  </si>
  <si>
    <t>14:25-14:40</t>
  </si>
  <si>
    <t>13:40-13:55</t>
  </si>
  <si>
    <t>&gt;93.75</t>
  </si>
  <si>
    <t>&gt;92.5</t>
  </si>
  <si>
    <t>14:00-14:15</t>
  </si>
  <si>
    <t>heavy rain last week; new channel rewatered above the narrows</t>
  </si>
  <si>
    <t xml:space="preserve"> Channel b #4 is dry, first time since 1995</t>
  </si>
  <si>
    <t>16:15-16:30</t>
  </si>
  <si>
    <t>18:45-19:00</t>
  </si>
  <si>
    <t xml:space="preserve"> PRBO camera at #4</t>
  </si>
  <si>
    <t xml:space="preserve"> Lori reports lots of high water</t>
  </si>
  <si>
    <t>16:10-16:30</t>
  </si>
  <si>
    <t>13:30-13:45</t>
  </si>
  <si>
    <t>12:45-13:15</t>
  </si>
  <si>
    <t>11:50-12:25</t>
  </si>
  <si>
    <t>12:10-12:40</t>
  </si>
  <si>
    <t>15:05-16:00</t>
  </si>
  <si>
    <t>13:15-13:55</t>
  </si>
  <si>
    <t>12:00-12:30</t>
  </si>
  <si>
    <t>12:30-13:00</t>
  </si>
  <si>
    <t>09:45-10:15</t>
  </si>
  <si>
    <t>09:50-10:30</t>
  </si>
  <si>
    <t>14:30-15:00</t>
  </si>
  <si>
    <t>09:30-10:00</t>
  </si>
  <si>
    <t>10:00-10:30</t>
  </si>
  <si>
    <t>9:20-9:50</t>
  </si>
  <si>
    <t>3 ducks in Channel 10</t>
  </si>
  <si>
    <t>14:40-14:55</t>
  </si>
  <si>
    <t>peak flow</t>
  </si>
  <si>
    <t>peak flow -last and highest day</t>
  </si>
  <si>
    <t>15:30-15:45</t>
  </si>
  <si>
    <t>Ramping down; Parker Creek peak</t>
  </si>
  <si>
    <t>Still surface water at #4</t>
  </si>
  <si>
    <t>15:30-16:10</t>
  </si>
  <si>
    <t>11:20-11:40</t>
  </si>
  <si>
    <t>Surface flow on only one side of #4</t>
  </si>
  <si>
    <t>13:30-15:30</t>
  </si>
  <si>
    <t>Couldn't find #3</t>
  </si>
  <si>
    <t>9:35-10:25</t>
  </si>
  <si>
    <t>Moist soil from previous night's thunderstorms</t>
  </si>
  <si>
    <t>14:55-15:25</t>
  </si>
  <si>
    <t>Heavy rainstorm earlier in afternoon</t>
  </si>
  <si>
    <t>13:55-14:30</t>
  </si>
  <si>
    <t>16:30-16:43</t>
  </si>
  <si>
    <t>0.65" rain all day yesterday; new snow on Parker Pk, horrible mosquitos</t>
  </si>
  <si>
    <t>mosquitos not much better than last week; 5 ducks in main channel</t>
  </si>
  <si>
    <t>14:20-14:37</t>
  </si>
  <si>
    <t>Vestal springs meadow much wetter than previously</t>
  </si>
  <si>
    <t>Data collected by Boucher</t>
  </si>
  <si>
    <t>15:35-16:02</t>
  </si>
  <si>
    <t>Cain precip 0.13" previous day</t>
  </si>
  <si>
    <t>Compare to May 17, 2005 (same flow)</t>
  </si>
  <si>
    <t>15:05-15:30</t>
  </si>
  <si>
    <t>ducks in Channel 10</t>
  </si>
  <si>
    <t>14:30-14:50</t>
  </si>
  <si>
    <t>water in channels clear; moist surface at #5; standing water at #4</t>
  </si>
  <si>
    <t>12:25-12:36</t>
  </si>
  <si>
    <t>13:55-14:10</t>
  </si>
  <si>
    <t>doves calling (never in previous years)</t>
  </si>
  <si>
    <t>10:30-10:50</t>
  </si>
  <si>
    <t>15:00-15:15</t>
  </si>
  <si>
    <t>mosquitoes</t>
  </si>
  <si>
    <t>10:15-10:30</t>
  </si>
  <si>
    <t>14:06-14:23</t>
  </si>
  <si>
    <t>14:37-14:52</t>
  </si>
  <si>
    <t>Grant Lake Reservoir spilling</t>
  </si>
  <si>
    <t>peak flow; doves calling</t>
  </si>
  <si>
    <t>peak flow; thunder approaching from SE</t>
  </si>
  <si>
    <t>augmentation begins; ducks in main channel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</si>
</sst>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dd\-mmm\-yy"/>
  </numFmts>
  <fonts count="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name val="Arial MT"/>
      <family val="0"/>
    </font>
    <font>
      <b/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right"/>
    </xf>
    <xf numFmtId="165" fontId="0" fillId="0" borderId="0" xfId="0" applyNumberFormat="1" applyAlignment="1" applyProtection="1">
      <alignment/>
      <protection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A!$C$3:$C$12</c:f>
              <c:numCache>
                <c:ptCount val="10"/>
                <c:pt idx="0">
                  <c:v>-63.36</c:v>
                </c:pt>
                <c:pt idx="1">
                  <c:v>-64</c:v>
                </c:pt>
                <c:pt idx="2">
                  <c:v>-65</c:v>
                </c:pt>
                <c:pt idx="3">
                  <c:v>-65</c:v>
                </c:pt>
                <c:pt idx="4">
                  <c:v>-64.75</c:v>
                </c:pt>
                <c:pt idx="5">
                  <c:v>-65</c:v>
                </c:pt>
                <c:pt idx="6">
                  <c:v>-65</c:v>
                </c:pt>
                <c:pt idx="7">
                  <c:v>-65</c:v>
                </c:pt>
                <c:pt idx="8">
                  <c:v>-65.25</c:v>
                </c:pt>
                <c:pt idx="9">
                  <c:v>-65.25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A!$E$3:$E$12</c:f>
              <c:numCache>
                <c:ptCount val="10"/>
                <c:pt idx="0">
                  <c:v>-69.96</c:v>
                </c:pt>
                <c:pt idx="1">
                  <c:v>-50.25</c:v>
                </c:pt>
                <c:pt idx="2">
                  <c:v>-51</c:v>
                </c:pt>
                <c:pt idx="3">
                  <c:v>-51</c:v>
                </c:pt>
                <c:pt idx="4">
                  <c:v>-51.25</c:v>
                </c:pt>
                <c:pt idx="5">
                  <c:v>-51.5</c:v>
                </c:pt>
                <c:pt idx="6">
                  <c:v>-52.25</c:v>
                </c:pt>
                <c:pt idx="7">
                  <c:v>-52</c:v>
                </c:pt>
                <c:pt idx="8">
                  <c:v>-53.25</c:v>
                </c:pt>
                <c:pt idx="9">
                  <c:v>-53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A!$G$3:$G$12</c:f>
              <c:numCache>
                <c:ptCount val="10"/>
                <c:pt idx="0">
                  <c:v>-78</c:v>
                </c:pt>
                <c:pt idx="1">
                  <c:v>-37.5</c:v>
                </c:pt>
                <c:pt idx="2">
                  <c:v>-41.25</c:v>
                </c:pt>
                <c:pt idx="3">
                  <c:v>-41.25</c:v>
                </c:pt>
                <c:pt idx="4">
                  <c:v>-41.75</c:v>
                </c:pt>
                <c:pt idx="5">
                  <c:v>-42</c:v>
                </c:pt>
                <c:pt idx="6">
                  <c:v>-42.75</c:v>
                </c:pt>
                <c:pt idx="7">
                  <c:v>-42.25</c:v>
                </c:pt>
                <c:pt idx="8">
                  <c:v>-43</c:v>
                </c:pt>
                <c:pt idx="9">
                  <c:v>-43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A!$I$3:$I$12</c:f>
              <c:numCache>
                <c:ptCount val="10"/>
                <c:pt idx="0">
                  <c:v>-37.8</c:v>
                </c:pt>
                <c:pt idx="1">
                  <c:v>6.75</c:v>
                </c:pt>
                <c:pt idx="2">
                  <c:v>4</c:v>
                </c:pt>
                <c:pt idx="3">
                  <c:v>4.25</c:v>
                </c:pt>
                <c:pt idx="4">
                  <c:v>4</c:v>
                </c:pt>
                <c:pt idx="5">
                  <c:v>3.25</c:v>
                </c:pt>
                <c:pt idx="6">
                  <c:v>3</c:v>
                </c:pt>
                <c:pt idx="7">
                  <c:v>3.75</c:v>
                </c:pt>
                <c:pt idx="8">
                  <c:v>2.75</c:v>
                </c:pt>
                <c:pt idx="9">
                  <c:v>2.75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A!$K$3:$K$12</c:f>
              <c:numCache>
                <c:ptCount val="10"/>
                <c:pt idx="0">
                  <c:v>-44.64</c:v>
                </c:pt>
                <c:pt idx="1">
                  <c:v>-14.5</c:v>
                </c:pt>
                <c:pt idx="2">
                  <c:v>-15</c:v>
                </c:pt>
                <c:pt idx="3">
                  <c:v>-14.75</c:v>
                </c:pt>
                <c:pt idx="4">
                  <c:v>-15.5</c:v>
                </c:pt>
                <c:pt idx="5">
                  <c:v>-15.25</c:v>
                </c:pt>
                <c:pt idx="6">
                  <c:v>-16.25</c:v>
                </c:pt>
                <c:pt idx="7">
                  <c:v>-15.5</c:v>
                </c:pt>
                <c:pt idx="8">
                  <c:v>-16</c:v>
                </c:pt>
                <c:pt idx="9">
                  <c:v>-16.5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A!$M$3:$M$12</c:f>
              <c:numCache>
                <c:ptCount val="10"/>
                <c:pt idx="0">
                  <c:v>-67.92</c:v>
                </c:pt>
                <c:pt idx="1">
                  <c:v>-54</c:v>
                </c:pt>
                <c:pt idx="2">
                  <c:v>-56.25</c:v>
                </c:pt>
                <c:pt idx="3">
                  <c:v>-56</c:v>
                </c:pt>
                <c:pt idx="4">
                  <c:v>-56</c:v>
                </c:pt>
                <c:pt idx="5">
                  <c:v>-56.25</c:v>
                </c:pt>
                <c:pt idx="6">
                  <c:v>-56.5</c:v>
                </c:pt>
                <c:pt idx="7">
                  <c:v>-56</c:v>
                </c:pt>
                <c:pt idx="8">
                  <c:v>-56.75</c:v>
                </c:pt>
                <c:pt idx="9">
                  <c:v>-56.5</c:v>
                </c:pt>
              </c:numCache>
            </c:numRef>
          </c:yVal>
          <c:smooth val="0"/>
        </c:ser>
        <c:axId val="42395020"/>
        <c:axId val="46010861"/>
      </c:scatterChart>
      <c:valAx>
        <c:axId val="42395020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10861"/>
        <c:crossesAt val="-100"/>
        <c:crossBetween val="midCat"/>
        <c:dispUnits/>
      </c:valAx>
      <c:valAx>
        <c:axId val="46010861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95020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A!$C$139:$C$153</c:f>
              <c:numCache>
                <c:ptCount val="15"/>
                <c:pt idx="1">
                  <c:v>-67.38</c:v>
                </c:pt>
                <c:pt idx="2">
                  <c:v>-67.75</c:v>
                </c:pt>
                <c:pt idx="3">
                  <c:v>-67.5</c:v>
                </c:pt>
                <c:pt idx="4">
                  <c:v>-67.5</c:v>
                </c:pt>
                <c:pt idx="6">
                  <c:v>-67</c:v>
                </c:pt>
                <c:pt idx="7">
                  <c:v>-67.25</c:v>
                </c:pt>
                <c:pt idx="8">
                  <c:v>-64.5</c:v>
                </c:pt>
                <c:pt idx="9">
                  <c:v>-67.5</c:v>
                </c:pt>
                <c:pt idx="11">
                  <c:v>-65.5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A!$E$139:$E$153</c:f>
              <c:numCache>
                <c:ptCount val="15"/>
                <c:pt idx="0">
                  <c:v>-69.92</c:v>
                </c:pt>
                <c:pt idx="1">
                  <c:v>-68.6</c:v>
                </c:pt>
                <c:pt idx="2">
                  <c:v>-67.75</c:v>
                </c:pt>
                <c:pt idx="3">
                  <c:v>-67.5</c:v>
                </c:pt>
                <c:pt idx="4">
                  <c:v>-67.25</c:v>
                </c:pt>
                <c:pt idx="5">
                  <c:v>-67.5</c:v>
                </c:pt>
                <c:pt idx="6">
                  <c:v>-66.75</c:v>
                </c:pt>
                <c:pt idx="7">
                  <c:v>-66.5</c:v>
                </c:pt>
                <c:pt idx="8">
                  <c:v>-65.15</c:v>
                </c:pt>
                <c:pt idx="9">
                  <c:v>-64</c:v>
                </c:pt>
                <c:pt idx="10">
                  <c:v>-67.75</c:v>
                </c:pt>
                <c:pt idx="11">
                  <c:v>-66.25</c:v>
                </c:pt>
                <c:pt idx="12">
                  <c:v>-67.25</c:v>
                </c:pt>
                <c:pt idx="13">
                  <c:v>-68.25</c:v>
                </c:pt>
                <c:pt idx="14">
                  <c:v>-67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A!$G$139:$G$153</c:f>
              <c:numCache>
                <c:ptCount val="15"/>
                <c:pt idx="0">
                  <c:v>-67.02</c:v>
                </c:pt>
                <c:pt idx="1">
                  <c:v>-65.1</c:v>
                </c:pt>
                <c:pt idx="2">
                  <c:v>-65.25</c:v>
                </c:pt>
                <c:pt idx="3">
                  <c:v>-64.75</c:v>
                </c:pt>
                <c:pt idx="4">
                  <c:v>-67.5</c:v>
                </c:pt>
                <c:pt idx="5">
                  <c:v>-65.25</c:v>
                </c:pt>
                <c:pt idx="6">
                  <c:v>-64</c:v>
                </c:pt>
                <c:pt idx="7">
                  <c:v>-62.5</c:v>
                </c:pt>
                <c:pt idx="8">
                  <c:v>-60.25</c:v>
                </c:pt>
                <c:pt idx="9">
                  <c:v>-61.75</c:v>
                </c:pt>
                <c:pt idx="10">
                  <c:v>-62.25</c:v>
                </c:pt>
                <c:pt idx="11">
                  <c:v>-64</c:v>
                </c:pt>
                <c:pt idx="12">
                  <c:v>-64.5</c:v>
                </c:pt>
                <c:pt idx="13">
                  <c:v>-65.5</c:v>
                </c:pt>
                <c:pt idx="14">
                  <c:v>-65.25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A!$I$139:$I$153</c:f>
              <c:numCache>
                <c:ptCount val="15"/>
                <c:pt idx="0">
                  <c:v>-17.42</c:v>
                </c:pt>
                <c:pt idx="1">
                  <c:v>-15.619999999999997</c:v>
                </c:pt>
                <c:pt idx="2">
                  <c:v>-16.25</c:v>
                </c:pt>
                <c:pt idx="3">
                  <c:v>-16.25</c:v>
                </c:pt>
                <c:pt idx="4">
                  <c:v>-16.5</c:v>
                </c:pt>
                <c:pt idx="5">
                  <c:v>-16.5</c:v>
                </c:pt>
                <c:pt idx="6">
                  <c:v>-15.25</c:v>
                </c:pt>
                <c:pt idx="7">
                  <c:v>-14.25</c:v>
                </c:pt>
                <c:pt idx="8">
                  <c:v>-10</c:v>
                </c:pt>
                <c:pt idx="9">
                  <c:v>-16.5</c:v>
                </c:pt>
                <c:pt idx="10">
                  <c:v>-17.25</c:v>
                </c:pt>
                <c:pt idx="11">
                  <c:v>-17</c:v>
                </c:pt>
                <c:pt idx="12">
                  <c:v>-18.5</c:v>
                </c:pt>
                <c:pt idx="13">
                  <c:v>-18.75</c:v>
                </c:pt>
                <c:pt idx="14">
                  <c:v>-18.75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A!$K$139:$K$153</c:f>
              <c:numCache>
                <c:ptCount val="15"/>
                <c:pt idx="0">
                  <c:v>-36.58</c:v>
                </c:pt>
                <c:pt idx="1">
                  <c:v>-34.42</c:v>
                </c:pt>
                <c:pt idx="2">
                  <c:v>-34.75</c:v>
                </c:pt>
                <c:pt idx="3">
                  <c:v>-33.75</c:v>
                </c:pt>
                <c:pt idx="4">
                  <c:v>-34</c:v>
                </c:pt>
                <c:pt idx="5">
                  <c:v>-34.25</c:v>
                </c:pt>
                <c:pt idx="6">
                  <c:v>-33</c:v>
                </c:pt>
                <c:pt idx="7">
                  <c:v>-32.75</c:v>
                </c:pt>
                <c:pt idx="8">
                  <c:v>-31.5</c:v>
                </c:pt>
                <c:pt idx="9">
                  <c:v>-33</c:v>
                </c:pt>
                <c:pt idx="10">
                  <c:v>-33.5</c:v>
                </c:pt>
                <c:pt idx="11">
                  <c:v>-35.25</c:v>
                </c:pt>
                <c:pt idx="12">
                  <c:v>-34.5</c:v>
                </c:pt>
                <c:pt idx="13">
                  <c:v>-35</c:v>
                </c:pt>
                <c:pt idx="14">
                  <c:v>-34.5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A!$M$139:$M$153</c:f>
              <c:numCache>
                <c:ptCount val="15"/>
                <c:pt idx="0">
                  <c:v>-68.53999999999999</c:v>
                </c:pt>
                <c:pt idx="1">
                  <c:v>-65.78</c:v>
                </c:pt>
                <c:pt idx="2">
                  <c:v>-66.75</c:v>
                </c:pt>
                <c:pt idx="3">
                  <c:v>-67.5</c:v>
                </c:pt>
                <c:pt idx="4">
                  <c:v>-67.5</c:v>
                </c:pt>
                <c:pt idx="6">
                  <c:v>-66.25</c:v>
                </c:pt>
                <c:pt idx="7">
                  <c:v>-66.5</c:v>
                </c:pt>
                <c:pt idx="8">
                  <c:v>-61</c:v>
                </c:pt>
                <c:pt idx="9">
                  <c:v>-66</c:v>
                </c:pt>
                <c:pt idx="10">
                  <c:v>-67.75</c:v>
                </c:pt>
                <c:pt idx="11">
                  <c:v>-67</c:v>
                </c:pt>
                <c:pt idx="12">
                  <c:v>-68.25</c:v>
                </c:pt>
              </c:numCache>
            </c:numRef>
          </c:yVal>
          <c:smooth val="0"/>
        </c:ser>
        <c:axId val="57272358"/>
        <c:axId val="45689175"/>
      </c:scatterChart>
      <c:valAx>
        <c:axId val="57272358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89175"/>
        <c:crossesAt val="-100"/>
        <c:crossBetween val="midCat"/>
        <c:dispUnits/>
      </c:valAx>
      <c:valAx>
        <c:axId val="45689175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72358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A!$C$154:$C$170</c:f>
              <c:numCache>
                <c:ptCount val="17"/>
                <c:pt idx="0">
                  <c:v>-65.5</c:v>
                </c:pt>
                <c:pt idx="1">
                  <c:v>-49.5</c:v>
                </c:pt>
                <c:pt idx="2">
                  <c:v>-48.75</c:v>
                </c:pt>
                <c:pt idx="3">
                  <c:v>-53</c:v>
                </c:pt>
                <c:pt idx="4">
                  <c:v>-54</c:v>
                </c:pt>
                <c:pt idx="5">
                  <c:v>-54.5</c:v>
                </c:pt>
                <c:pt idx="6">
                  <c:v>-55.75</c:v>
                </c:pt>
                <c:pt idx="7">
                  <c:v>-56.5</c:v>
                </c:pt>
                <c:pt idx="8">
                  <c:v>-56</c:v>
                </c:pt>
                <c:pt idx="9">
                  <c:v>-57.75</c:v>
                </c:pt>
                <c:pt idx="10">
                  <c:v>-62</c:v>
                </c:pt>
                <c:pt idx="11">
                  <c:v>-62.75</c:v>
                </c:pt>
                <c:pt idx="12">
                  <c:v>-64</c:v>
                </c:pt>
                <c:pt idx="13">
                  <c:v>-64.75</c:v>
                </c:pt>
                <c:pt idx="14">
                  <c:v>-69.5</c:v>
                </c:pt>
                <c:pt idx="15">
                  <c:v>-66.5</c:v>
                </c:pt>
                <c:pt idx="16">
                  <c:v>-68.75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A!$E$154:$E$170</c:f>
              <c:numCache>
                <c:ptCount val="17"/>
                <c:pt idx="0">
                  <c:v>-66</c:v>
                </c:pt>
                <c:pt idx="1">
                  <c:v>-38.5</c:v>
                </c:pt>
                <c:pt idx="2">
                  <c:v>-37</c:v>
                </c:pt>
                <c:pt idx="3">
                  <c:v>-40.5</c:v>
                </c:pt>
                <c:pt idx="4">
                  <c:v>-41.75</c:v>
                </c:pt>
                <c:pt idx="5">
                  <c:v>-42</c:v>
                </c:pt>
                <c:pt idx="6">
                  <c:v>-44.5</c:v>
                </c:pt>
                <c:pt idx="7">
                  <c:v>-46.25</c:v>
                </c:pt>
                <c:pt idx="8">
                  <c:v>-45.75</c:v>
                </c:pt>
                <c:pt idx="9">
                  <c:v>-48.75</c:v>
                </c:pt>
                <c:pt idx="10">
                  <c:v>-54.5</c:v>
                </c:pt>
                <c:pt idx="11">
                  <c:v>-56</c:v>
                </c:pt>
                <c:pt idx="12">
                  <c:v>-58.75</c:v>
                </c:pt>
                <c:pt idx="13">
                  <c:v>-60</c:v>
                </c:pt>
                <c:pt idx="14">
                  <c:v>-63.25</c:v>
                </c:pt>
                <c:pt idx="15">
                  <c:v>-62.75</c:v>
                </c:pt>
                <c:pt idx="16">
                  <c:v>-63.75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A!$G$154:$G$170</c:f>
              <c:numCache>
                <c:ptCount val="17"/>
                <c:pt idx="0">
                  <c:v>-62.5</c:v>
                </c:pt>
                <c:pt idx="1">
                  <c:v>-28.5</c:v>
                </c:pt>
                <c:pt idx="2">
                  <c:v>-26.25</c:v>
                </c:pt>
                <c:pt idx="3">
                  <c:v>-29.5</c:v>
                </c:pt>
                <c:pt idx="4">
                  <c:v>-30.5</c:v>
                </c:pt>
                <c:pt idx="5">
                  <c:v>-31</c:v>
                </c:pt>
                <c:pt idx="6">
                  <c:v>-34.5</c:v>
                </c:pt>
                <c:pt idx="8">
                  <c:v>-36.75</c:v>
                </c:pt>
                <c:pt idx="9">
                  <c:v>-39.75</c:v>
                </c:pt>
                <c:pt idx="10">
                  <c:v>-49</c:v>
                </c:pt>
                <c:pt idx="11">
                  <c:v>-49.25</c:v>
                </c:pt>
                <c:pt idx="12">
                  <c:v>-53.25</c:v>
                </c:pt>
                <c:pt idx="13">
                  <c:v>-54.75</c:v>
                </c:pt>
                <c:pt idx="14">
                  <c:v>-60.37</c:v>
                </c:pt>
                <c:pt idx="15">
                  <c:v>-58.25</c:v>
                </c:pt>
                <c:pt idx="16">
                  <c:v>-61.25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A!$I$154:$I$170</c:f>
              <c:numCache>
                <c:ptCount val="17"/>
                <c:pt idx="0">
                  <c:v>-14.75</c:v>
                </c:pt>
                <c:pt idx="1">
                  <c:v>6.5</c:v>
                </c:pt>
                <c:pt idx="2">
                  <c:v>7.5</c:v>
                </c:pt>
                <c:pt idx="3">
                  <c:v>4.25</c:v>
                </c:pt>
                <c:pt idx="4">
                  <c:v>3.25</c:v>
                </c:pt>
                <c:pt idx="5">
                  <c:v>2.75</c:v>
                </c:pt>
                <c:pt idx="6">
                  <c:v>-0.25</c:v>
                </c:pt>
                <c:pt idx="7">
                  <c:v>-1.5</c:v>
                </c:pt>
                <c:pt idx="8">
                  <c:v>-1.5</c:v>
                </c:pt>
                <c:pt idx="9">
                  <c:v>-4.25</c:v>
                </c:pt>
                <c:pt idx="10">
                  <c:v>-10</c:v>
                </c:pt>
                <c:pt idx="11">
                  <c:v>-10.75</c:v>
                </c:pt>
                <c:pt idx="12">
                  <c:v>-14.75</c:v>
                </c:pt>
                <c:pt idx="13">
                  <c:v>-16.25</c:v>
                </c:pt>
                <c:pt idx="14">
                  <c:v>-19.75</c:v>
                </c:pt>
                <c:pt idx="15">
                  <c:v>-19</c:v>
                </c:pt>
                <c:pt idx="16">
                  <c:v>-20.75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A!$K$154:$K$170</c:f>
              <c:numCache>
                <c:ptCount val="17"/>
                <c:pt idx="0">
                  <c:v>-31</c:v>
                </c:pt>
                <c:pt idx="1">
                  <c:v>-10</c:v>
                </c:pt>
                <c:pt idx="2">
                  <c:v>-12.25</c:v>
                </c:pt>
                <c:pt idx="3">
                  <c:v>-11</c:v>
                </c:pt>
                <c:pt idx="4">
                  <c:v>-12</c:v>
                </c:pt>
                <c:pt idx="5">
                  <c:v>-12.25</c:v>
                </c:pt>
                <c:pt idx="6">
                  <c:v>-14</c:v>
                </c:pt>
                <c:pt idx="7">
                  <c:v>-15.5</c:v>
                </c:pt>
                <c:pt idx="8">
                  <c:v>-16.25</c:v>
                </c:pt>
                <c:pt idx="9">
                  <c:v>-17.75</c:v>
                </c:pt>
                <c:pt idx="10">
                  <c:v>-21</c:v>
                </c:pt>
                <c:pt idx="11">
                  <c:v>-23.5</c:v>
                </c:pt>
                <c:pt idx="12">
                  <c:v>-27.5</c:v>
                </c:pt>
                <c:pt idx="13">
                  <c:v>-29.75</c:v>
                </c:pt>
                <c:pt idx="14">
                  <c:v>-32.75</c:v>
                </c:pt>
                <c:pt idx="15">
                  <c:v>-32.25</c:v>
                </c:pt>
                <c:pt idx="16">
                  <c:v>-36.5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A!$M$154:$M$170</c:f>
              <c:numCache>
                <c:ptCount val="17"/>
                <c:pt idx="0">
                  <c:v>-60</c:v>
                </c:pt>
                <c:pt idx="1">
                  <c:v>-43.75</c:v>
                </c:pt>
                <c:pt idx="2">
                  <c:v>-43</c:v>
                </c:pt>
                <c:pt idx="3">
                  <c:v>-46</c:v>
                </c:pt>
                <c:pt idx="4">
                  <c:v>-46.25</c:v>
                </c:pt>
                <c:pt idx="5">
                  <c:v>-46.5</c:v>
                </c:pt>
                <c:pt idx="6">
                  <c:v>-48</c:v>
                </c:pt>
                <c:pt idx="7">
                  <c:v>-48.5</c:v>
                </c:pt>
                <c:pt idx="8">
                  <c:v>-48.25</c:v>
                </c:pt>
                <c:pt idx="9">
                  <c:v>-50</c:v>
                </c:pt>
                <c:pt idx="10">
                  <c:v>-54.25</c:v>
                </c:pt>
                <c:pt idx="11">
                  <c:v>-54.75</c:v>
                </c:pt>
                <c:pt idx="12">
                  <c:v>-57.5</c:v>
                </c:pt>
                <c:pt idx="13">
                  <c:v>-58.5</c:v>
                </c:pt>
                <c:pt idx="14">
                  <c:v>-61.25</c:v>
                </c:pt>
                <c:pt idx="15">
                  <c:v>-61.5</c:v>
                </c:pt>
                <c:pt idx="16">
                  <c:v>-61.25</c:v>
                </c:pt>
              </c:numCache>
            </c:numRef>
          </c:yVal>
          <c:smooth val="0"/>
        </c:ser>
        <c:axId val="8549392"/>
        <c:axId val="9835665"/>
      </c:scatterChart>
      <c:valAx>
        <c:axId val="8549392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5665"/>
        <c:crossesAt val="-100"/>
        <c:crossBetween val="midCat"/>
        <c:dispUnits/>
      </c:valAx>
      <c:valAx>
        <c:axId val="9835665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49392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A!$C$171:$C$184</c:f>
              <c:numCache>
                <c:ptCount val="14"/>
                <c:pt idx="0">
                  <c:v>-66</c:v>
                </c:pt>
                <c:pt idx="1">
                  <c:v>-64.25</c:v>
                </c:pt>
                <c:pt idx="2">
                  <c:v>-56.75</c:v>
                </c:pt>
                <c:pt idx="3">
                  <c:v>-45.75</c:v>
                </c:pt>
                <c:pt idx="4">
                  <c:v>-48.25</c:v>
                </c:pt>
                <c:pt idx="5">
                  <c:v>-46.75</c:v>
                </c:pt>
                <c:pt idx="6">
                  <c:v>-48.75</c:v>
                </c:pt>
                <c:pt idx="7">
                  <c:v>-50.5</c:v>
                </c:pt>
                <c:pt idx="8">
                  <c:v>-55.5</c:v>
                </c:pt>
                <c:pt idx="9">
                  <c:v>-63</c:v>
                </c:pt>
                <c:pt idx="10">
                  <c:v>-64.25</c:v>
                </c:pt>
                <c:pt idx="11">
                  <c:v>-66</c:v>
                </c:pt>
                <c:pt idx="13">
                  <c:v>-65.5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A!$E$171:$E$184</c:f>
              <c:numCache>
                <c:ptCount val="14"/>
                <c:pt idx="0">
                  <c:v>-63.25</c:v>
                </c:pt>
                <c:pt idx="1">
                  <c:v>-60</c:v>
                </c:pt>
                <c:pt idx="2">
                  <c:v>-46.75</c:v>
                </c:pt>
                <c:pt idx="3">
                  <c:v>-37</c:v>
                </c:pt>
                <c:pt idx="4">
                  <c:v>-38.5</c:v>
                </c:pt>
                <c:pt idx="5">
                  <c:v>-37</c:v>
                </c:pt>
                <c:pt idx="6">
                  <c:v>-38.25</c:v>
                </c:pt>
                <c:pt idx="7">
                  <c:v>-39.5</c:v>
                </c:pt>
                <c:pt idx="8">
                  <c:v>-45.5</c:v>
                </c:pt>
                <c:pt idx="9">
                  <c:v>-54.5</c:v>
                </c:pt>
                <c:pt idx="10">
                  <c:v>-56.5</c:v>
                </c:pt>
                <c:pt idx="11">
                  <c:v>-58.5</c:v>
                </c:pt>
                <c:pt idx="12">
                  <c:v>-61.25</c:v>
                </c:pt>
                <c:pt idx="13">
                  <c:v>-60.25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A!$G$171:$G$184</c:f>
              <c:numCache>
                <c:ptCount val="14"/>
                <c:pt idx="0">
                  <c:v>-57.75</c:v>
                </c:pt>
                <c:pt idx="1">
                  <c:v>-53.75</c:v>
                </c:pt>
                <c:pt idx="2">
                  <c:v>-36.5</c:v>
                </c:pt>
                <c:pt idx="3">
                  <c:v>-28.25</c:v>
                </c:pt>
                <c:pt idx="4">
                  <c:v>-30.5</c:v>
                </c:pt>
                <c:pt idx="5">
                  <c:v>-28</c:v>
                </c:pt>
                <c:pt idx="6">
                  <c:v>-29.75</c:v>
                </c:pt>
                <c:pt idx="7">
                  <c:v>-30.5</c:v>
                </c:pt>
                <c:pt idx="8">
                  <c:v>-37.25</c:v>
                </c:pt>
                <c:pt idx="9">
                  <c:v>-47</c:v>
                </c:pt>
                <c:pt idx="10">
                  <c:v>-50.5</c:v>
                </c:pt>
                <c:pt idx="11">
                  <c:v>-53</c:v>
                </c:pt>
                <c:pt idx="12">
                  <c:v>-56.25</c:v>
                </c:pt>
                <c:pt idx="13">
                  <c:v>-55.25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A!$I$171:$I$184</c:f>
              <c:numCache>
                <c:ptCount val="14"/>
                <c:pt idx="0">
                  <c:v>-17.25</c:v>
                </c:pt>
                <c:pt idx="1">
                  <c:v>-13</c:v>
                </c:pt>
                <c:pt idx="2">
                  <c:v>-1.25</c:v>
                </c:pt>
                <c:pt idx="3">
                  <c:v>7</c:v>
                </c:pt>
                <c:pt idx="4">
                  <c:v>4.5</c:v>
                </c:pt>
                <c:pt idx="5">
                  <c:v>7.75</c:v>
                </c:pt>
                <c:pt idx="6">
                  <c:v>6.5</c:v>
                </c:pt>
                <c:pt idx="7">
                  <c:v>6</c:v>
                </c:pt>
                <c:pt idx="8">
                  <c:v>1.25</c:v>
                </c:pt>
                <c:pt idx="9">
                  <c:v>-6</c:v>
                </c:pt>
                <c:pt idx="10">
                  <c:v>-9</c:v>
                </c:pt>
                <c:pt idx="11">
                  <c:v>-11.25</c:v>
                </c:pt>
                <c:pt idx="12">
                  <c:v>-14.75</c:v>
                </c:pt>
                <c:pt idx="13">
                  <c:v>-12.75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A!$K$171:$K$184</c:f>
              <c:numCache>
                <c:ptCount val="14"/>
                <c:pt idx="0">
                  <c:v>-30.5</c:v>
                </c:pt>
                <c:pt idx="1">
                  <c:v>-27.75</c:v>
                </c:pt>
                <c:pt idx="2">
                  <c:v>-16</c:v>
                </c:pt>
                <c:pt idx="3">
                  <c:v>-9.25</c:v>
                </c:pt>
                <c:pt idx="4">
                  <c:v>-9.5</c:v>
                </c:pt>
                <c:pt idx="5">
                  <c:v>-7.75</c:v>
                </c:pt>
                <c:pt idx="6">
                  <c:v>-8.25</c:v>
                </c:pt>
                <c:pt idx="7">
                  <c:v>-8.5</c:v>
                </c:pt>
                <c:pt idx="8">
                  <c:v>-11.75</c:v>
                </c:pt>
                <c:pt idx="9">
                  <c:v>-18.5</c:v>
                </c:pt>
                <c:pt idx="10">
                  <c:v>-21</c:v>
                </c:pt>
                <c:pt idx="11">
                  <c:v>-25</c:v>
                </c:pt>
                <c:pt idx="12">
                  <c:v>-26.25</c:v>
                </c:pt>
                <c:pt idx="13">
                  <c:v>-26.25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A!$M$171:$M$184</c:f>
              <c:numCache>
                <c:ptCount val="14"/>
                <c:pt idx="0">
                  <c:v>-58.25</c:v>
                </c:pt>
                <c:pt idx="1">
                  <c:v>-55.5</c:v>
                </c:pt>
                <c:pt idx="2">
                  <c:v>-46.5</c:v>
                </c:pt>
                <c:pt idx="3">
                  <c:v>-38.75</c:v>
                </c:pt>
                <c:pt idx="4">
                  <c:v>-40.25</c:v>
                </c:pt>
                <c:pt idx="5">
                  <c:v>-38.75</c:v>
                </c:pt>
                <c:pt idx="6">
                  <c:v>-39.5</c:v>
                </c:pt>
                <c:pt idx="7">
                  <c:v>-40.5</c:v>
                </c:pt>
                <c:pt idx="8">
                  <c:v>-44.25</c:v>
                </c:pt>
                <c:pt idx="9">
                  <c:v>-50.75</c:v>
                </c:pt>
                <c:pt idx="10">
                  <c:v>-53.5</c:v>
                </c:pt>
                <c:pt idx="11">
                  <c:v>-54.75</c:v>
                </c:pt>
                <c:pt idx="12">
                  <c:v>-59</c:v>
                </c:pt>
                <c:pt idx="13">
                  <c:v>-55</c:v>
                </c:pt>
              </c:numCache>
            </c:numRef>
          </c:yVal>
          <c:smooth val="0"/>
        </c:ser>
        <c:axId val="21412122"/>
        <c:axId val="58491371"/>
      </c:scatterChart>
      <c:valAx>
        <c:axId val="21412122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91371"/>
        <c:crossesAt val="-100"/>
        <c:crossBetween val="midCat"/>
        <c:dispUnits/>
      </c:valAx>
      <c:valAx>
        <c:axId val="58491371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12122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425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A!$C$3:$C$184</c:f>
              <c:numCache>
                <c:ptCount val="182"/>
                <c:pt idx="0">
                  <c:v>-63.36</c:v>
                </c:pt>
                <c:pt idx="1">
                  <c:v>-64</c:v>
                </c:pt>
                <c:pt idx="2">
                  <c:v>-65</c:v>
                </c:pt>
                <c:pt idx="3">
                  <c:v>-65</c:v>
                </c:pt>
                <c:pt idx="4">
                  <c:v>-64.75</c:v>
                </c:pt>
                <c:pt idx="5">
                  <c:v>-65</c:v>
                </c:pt>
                <c:pt idx="6">
                  <c:v>-65</c:v>
                </c:pt>
                <c:pt idx="7">
                  <c:v>-65</c:v>
                </c:pt>
                <c:pt idx="8">
                  <c:v>-65.25</c:v>
                </c:pt>
                <c:pt idx="9">
                  <c:v>-65.25</c:v>
                </c:pt>
                <c:pt idx="10">
                  <c:v>-56.75</c:v>
                </c:pt>
                <c:pt idx="11">
                  <c:v>-59</c:v>
                </c:pt>
                <c:pt idx="12">
                  <c:v>-59.5</c:v>
                </c:pt>
                <c:pt idx="13">
                  <c:v>-59.25</c:v>
                </c:pt>
                <c:pt idx="14">
                  <c:v>-61</c:v>
                </c:pt>
                <c:pt idx="15">
                  <c:v>-61</c:v>
                </c:pt>
                <c:pt idx="16">
                  <c:v>-61.5</c:v>
                </c:pt>
                <c:pt idx="17">
                  <c:v>-62</c:v>
                </c:pt>
                <c:pt idx="18">
                  <c:v>-61.25</c:v>
                </c:pt>
                <c:pt idx="19">
                  <c:v>-62</c:v>
                </c:pt>
                <c:pt idx="20">
                  <c:v>-61.5</c:v>
                </c:pt>
                <c:pt idx="21">
                  <c:v>-61.75</c:v>
                </c:pt>
                <c:pt idx="22">
                  <c:v>-63.25</c:v>
                </c:pt>
                <c:pt idx="23">
                  <c:v>-64.25</c:v>
                </c:pt>
                <c:pt idx="24">
                  <c:v>-65.25</c:v>
                </c:pt>
                <c:pt idx="25">
                  <c:v>-64.75</c:v>
                </c:pt>
                <c:pt idx="27">
                  <c:v>-65.5</c:v>
                </c:pt>
                <c:pt idx="28">
                  <c:v>-63.5</c:v>
                </c:pt>
                <c:pt idx="29">
                  <c:v>-60.5</c:v>
                </c:pt>
                <c:pt idx="30">
                  <c:v>-57.25</c:v>
                </c:pt>
                <c:pt idx="31">
                  <c:v>-57</c:v>
                </c:pt>
                <c:pt idx="32">
                  <c:v>-60</c:v>
                </c:pt>
                <c:pt idx="33">
                  <c:v>-61</c:v>
                </c:pt>
                <c:pt idx="34">
                  <c:v>-60.5</c:v>
                </c:pt>
                <c:pt idx="35">
                  <c:v>-59</c:v>
                </c:pt>
                <c:pt idx="36">
                  <c:v>-63.75</c:v>
                </c:pt>
                <c:pt idx="37">
                  <c:v>-64</c:v>
                </c:pt>
                <c:pt idx="38">
                  <c:v>-63.75</c:v>
                </c:pt>
                <c:pt idx="39">
                  <c:v>-64.25</c:v>
                </c:pt>
                <c:pt idx="40">
                  <c:v>-65</c:v>
                </c:pt>
                <c:pt idx="41">
                  <c:v>-65.25</c:v>
                </c:pt>
                <c:pt idx="42">
                  <c:v>-65.5</c:v>
                </c:pt>
                <c:pt idx="43">
                  <c:v>-54.75</c:v>
                </c:pt>
                <c:pt idx="44">
                  <c:v>-52.75</c:v>
                </c:pt>
                <c:pt idx="45">
                  <c:v>-45</c:v>
                </c:pt>
                <c:pt idx="46">
                  <c:v>-60.5</c:v>
                </c:pt>
                <c:pt idx="47">
                  <c:v>-64.5</c:v>
                </c:pt>
                <c:pt idx="48">
                  <c:v>-66.25</c:v>
                </c:pt>
                <c:pt idx="49">
                  <c:v>-67</c:v>
                </c:pt>
                <c:pt idx="50">
                  <c:v>-66</c:v>
                </c:pt>
                <c:pt idx="51">
                  <c:v>-64.25</c:v>
                </c:pt>
                <c:pt idx="52">
                  <c:v>-63.625</c:v>
                </c:pt>
                <c:pt idx="53">
                  <c:v>-62.75</c:v>
                </c:pt>
                <c:pt idx="54">
                  <c:v>-62.5</c:v>
                </c:pt>
                <c:pt idx="55">
                  <c:v>-62.75</c:v>
                </c:pt>
                <c:pt idx="56">
                  <c:v>-60.75</c:v>
                </c:pt>
                <c:pt idx="57">
                  <c:v>-59.25</c:v>
                </c:pt>
                <c:pt idx="58">
                  <c:v>-58.75</c:v>
                </c:pt>
                <c:pt idx="59">
                  <c:v>-58.5</c:v>
                </c:pt>
                <c:pt idx="60">
                  <c:v>-58.5</c:v>
                </c:pt>
                <c:pt idx="61">
                  <c:v>-57.5</c:v>
                </c:pt>
                <c:pt idx="62">
                  <c:v>-57.25</c:v>
                </c:pt>
                <c:pt idx="63">
                  <c:v>-57.5</c:v>
                </c:pt>
                <c:pt idx="64">
                  <c:v>-61</c:v>
                </c:pt>
                <c:pt idx="65">
                  <c:v>-64</c:v>
                </c:pt>
                <c:pt idx="66">
                  <c:v>-65.25</c:v>
                </c:pt>
                <c:pt idx="67">
                  <c:v>-65</c:v>
                </c:pt>
                <c:pt idx="68">
                  <c:v>-66.25</c:v>
                </c:pt>
                <c:pt idx="69">
                  <c:v>-66.5</c:v>
                </c:pt>
                <c:pt idx="70">
                  <c:v>-67</c:v>
                </c:pt>
                <c:pt idx="71">
                  <c:v>-67.25</c:v>
                </c:pt>
                <c:pt idx="73">
                  <c:v>-68.75</c:v>
                </c:pt>
                <c:pt idx="74">
                  <c:v>-68.25</c:v>
                </c:pt>
                <c:pt idx="75">
                  <c:v>-67.5</c:v>
                </c:pt>
                <c:pt idx="76">
                  <c:v>-66.25</c:v>
                </c:pt>
                <c:pt idx="77">
                  <c:v>-65.75</c:v>
                </c:pt>
                <c:pt idx="78">
                  <c:v>-65.5</c:v>
                </c:pt>
                <c:pt idx="79">
                  <c:v>-65</c:v>
                </c:pt>
                <c:pt idx="80">
                  <c:v>-64</c:v>
                </c:pt>
                <c:pt idx="81">
                  <c:v>-58</c:v>
                </c:pt>
                <c:pt idx="82">
                  <c:v>-60.5</c:v>
                </c:pt>
                <c:pt idx="83">
                  <c:v>-62.25</c:v>
                </c:pt>
                <c:pt idx="84">
                  <c:v>-62.75</c:v>
                </c:pt>
                <c:pt idx="85">
                  <c:v>-63</c:v>
                </c:pt>
                <c:pt idx="86">
                  <c:v>-67.5</c:v>
                </c:pt>
                <c:pt idx="87">
                  <c:v>-67</c:v>
                </c:pt>
                <c:pt idx="88">
                  <c:v>-67.5</c:v>
                </c:pt>
                <c:pt idx="89">
                  <c:v>-68.5</c:v>
                </c:pt>
                <c:pt idx="90">
                  <c:v>-68</c:v>
                </c:pt>
                <c:pt idx="91">
                  <c:v>-68.5</c:v>
                </c:pt>
                <c:pt idx="92">
                  <c:v>-68.5</c:v>
                </c:pt>
                <c:pt idx="93">
                  <c:v>-66.25</c:v>
                </c:pt>
                <c:pt idx="94">
                  <c:v>-63.25</c:v>
                </c:pt>
                <c:pt idx="95">
                  <c:v>-61.5</c:v>
                </c:pt>
                <c:pt idx="96">
                  <c:v>-66</c:v>
                </c:pt>
                <c:pt idx="97">
                  <c:v>-67</c:v>
                </c:pt>
                <c:pt idx="98">
                  <c:v>-67.75</c:v>
                </c:pt>
                <c:pt idx="99">
                  <c:v>-67.5</c:v>
                </c:pt>
                <c:pt idx="100">
                  <c:v>-67.5</c:v>
                </c:pt>
                <c:pt idx="101">
                  <c:v>-68.5</c:v>
                </c:pt>
                <c:pt idx="102">
                  <c:v>-68</c:v>
                </c:pt>
                <c:pt idx="103">
                  <c:v>-68.25</c:v>
                </c:pt>
                <c:pt idx="104">
                  <c:v>-68.5</c:v>
                </c:pt>
                <c:pt idx="105">
                  <c:v>-68.5</c:v>
                </c:pt>
                <c:pt idx="106">
                  <c:v>-68.5</c:v>
                </c:pt>
                <c:pt idx="107">
                  <c:v>-69</c:v>
                </c:pt>
                <c:pt idx="109">
                  <c:v>-67.5</c:v>
                </c:pt>
                <c:pt idx="110">
                  <c:v>-66.25</c:v>
                </c:pt>
                <c:pt idx="111">
                  <c:v>-65.5</c:v>
                </c:pt>
                <c:pt idx="112">
                  <c:v>-66.25</c:v>
                </c:pt>
                <c:pt idx="113">
                  <c:v>-60</c:v>
                </c:pt>
                <c:pt idx="114">
                  <c:v>-64.75</c:v>
                </c:pt>
                <c:pt idx="115">
                  <c:v>-65.25</c:v>
                </c:pt>
                <c:pt idx="116">
                  <c:v>-66</c:v>
                </c:pt>
                <c:pt idx="117">
                  <c:v>-67</c:v>
                </c:pt>
                <c:pt idx="119">
                  <c:v>-66.75</c:v>
                </c:pt>
                <c:pt idx="120">
                  <c:v>-67.5</c:v>
                </c:pt>
                <c:pt idx="123">
                  <c:v>-59.5</c:v>
                </c:pt>
                <c:pt idx="124">
                  <c:v>-58</c:v>
                </c:pt>
                <c:pt idx="125">
                  <c:v>-56.25</c:v>
                </c:pt>
                <c:pt idx="126">
                  <c:v>-55.75</c:v>
                </c:pt>
                <c:pt idx="127">
                  <c:v>-65</c:v>
                </c:pt>
                <c:pt idx="128">
                  <c:v>-66.5</c:v>
                </c:pt>
                <c:pt idx="129">
                  <c:v>-65.5</c:v>
                </c:pt>
                <c:pt idx="130">
                  <c:v>-67.75</c:v>
                </c:pt>
                <c:pt idx="132">
                  <c:v>-67.75</c:v>
                </c:pt>
                <c:pt idx="134">
                  <c:v>-67.25</c:v>
                </c:pt>
                <c:pt idx="137">
                  <c:v>-67.38</c:v>
                </c:pt>
                <c:pt idx="138">
                  <c:v>-67.75</c:v>
                </c:pt>
                <c:pt idx="139">
                  <c:v>-67.5</c:v>
                </c:pt>
                <c:pt idx="140">
                  <c:v>-67.5</c:v>
                </c:pt>
                <c:pt idx="142">
                  <c:v>-67</c:v>
                </c:pt>
                <c:pt idx="143">
                  <c:v>-67.25</c:v>
                </c:pt>
                <c:pt idx="144">
                  <c:v>-64.5</c:v>
                </c:pt>
                <c:pt idx="145">
                  <c:v>-67.5</c:v>
                </c:pt>
                <c:pt idx="147">
                  <c:v>-65.5</c:v>
                </c:pt>
                <c:pt idx="151">
                  <c:v>-65.5</c:v>
                </c:pt>
                <c:pt idx="152">
                  <c:v>-49.5</c:v>
                </c:pt>
                <c:pt idx="153">
                  <c:v>-48.75</c:v>
                </c:pt>
                <c:pt idx="154">
                  <c:v>-53</c:v>
                </c:pt>
                <c:pt idx="155">
                  <c:v>-54</c:v>
                </c:pt>
                <c:pt idx="156">
                  <c:v>-54.5</c:v>
                </c:pt>
                <c:pt idx="157">
                  <c:v>-55.75</c:v>
                </c:pt>
                <c:pt idx="158">
                  <c:v>-56.5</c:v>
                </c:pt>
                <c:pt idx="159">
                  <c:v>-56</c:v>
                </c:pt>
                <c:pt idx="160">
                  <c:v>-57.75</c:v>
                </c:pt>
                <c:pt idx="161">
                  <c:v>-62</c:v>
                </c:pt>
                <c:pt idx="162">
                  <c:v>-62.75</c:v>
                </c:pt>
                <c:pt idx="163">
                  <c:v>-64</c:v>
                </c:pt>
                <c:pt idx="164">
                  <c:v>-64.75</c:v>
                </c:pt>
                <c:pt idx="165">
                  <c:v>-69.5</c:v>
                </c:pt>
                <c:pt idx="166">
                  <c:v>-66.5</c:v>
                </c:pt>
                <c:pt idx="167">
                  <c:v>-68.75</c:v>
                </c:pt>
                <c:pt idx="168">
                  <c:v>-66</c:v>
                </c:pt>
                <c:pt idx="169">
                  <c:v>-64.25</c:v>
                </c:pt>
                <c:pt idx="170">
                  <c:v>-56.75</c:v>
                </c:pt>
                <c:pt idx="171">
                  <c:v>-45.75</c:v>
                </c:pt>
                <c:pt idx="172">
                  <c:v>-48.25</c:v>
                </c:pt>
                <c:pt idx="173">
                  <c:v>-46.75</c:v>
                </c:pt>
                <c:pt idx="174">
                  <c:v>-48.75</c:v>
                </c:pt>
                <c:pt idx="175">
                  <c:v>-50.5</c:v>
                </c:pt>
                <c:pt idx="176">
                  <c:v>-55.5</c:v>
                </c:pt>
                <c:pt idx="177">
                  <c:v>-63</c:v>
                </c:pt>
                <c:pt idx="178">
                  <c:v>-64.25</c:v>
                </c:pt>
                <c:pt idx="179">
                  <c:v>-66</c:v>
                </c:pt>
                <c:pt idx="181">
                  <c:v>-65.5</c:v>
                </c:pt>
              </c:numCache>
            </c:numRef>
          </c:val>
          <c:smooth val="0"/>
        </c:ser>
        <c:marker val="1"/>
        <c:axId val="56660292"/>
        <c:axId val="40180581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26080910"/>
        <c:axId val="33401599"/>
      </c:lineChart>
      <c:catAx>
        <c:axId val="56660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180581"/>
        <c:crossesAt val="-80"/>
        <c:auto val="0"/>
        <c:lblOffset val="100"/>
        <c:tickLblSkip val="4"/>
        <c:tickMarkSkip val="4"/>
        <c:noMultiLvlLbl val="0"/>
      </c:catAx>
      <c:valAx>
        <c:axId val="4018058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660292"/>
        <c:crossesAt val="1"/>
        <c:crossBetween val="midCat"/>
        <c:dispUnits/>
      </c:valAx>
      <c:catAx>
        <c:axId val="26080910"/>
        <c:scaling>
          <c:orientation val="minMax"/>
        </c:scaling>
        <c:axPos val="b"/>
        <c:delete val="1"/>
        <c:majorTickMark val="in"/>
        <c:minorTickMark val="none"/>
        <c:tickLblPos val="nextTo"/>
        <c:crossAx val="33401599"/>
        <c:crosses val="autoZero"/>
        <c:auto val="0"/>
        <c:lblOffset val="100"/>
        <c:noMultiLvlLbl val="0"/>
      </c:catAx>
      <c:valAx>
        <c:axId val="33401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8091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A!$E$3:$E$184</c:f>
              <c:numCache>
                <c:ptCount val="182"/>
                <c:pt idx="0">
                  <c:v>-69.96</c:v>
                </c:pt>
                <c:pt idx="1">
                  <c:v>-50.25</c:v>
                </c:pt>
                <c:pt idx="2">
                  <c:v>-51</c:v>
                </c:pt>
                <c:pt idx="3">
                  <c:v>-51</c:v>
                </c:pt>
                <c:pt idx="4">
                  <c:v>-51.25</c:v>
                </c:pt>
                <c:pt idx="5">
                  <c:v>-51.5</c:v>
                </c:pt>
                <c:pt idx="6">
                  <c:v>-52.25</c:v>
                </c:pt>
                <c:pt idx="7">
                  <c:v>-52</c:v>
                </c:pt>
                <c:pt idx="8">
                  <c:v>-53.25</c:v>
                </c:pt>
                <c:pt idx="9">
                  <c:v>-53</c:v>
                </c:pt>
                <c:pt idx="10">
                  <c:v>-46.25</c:v>
                </c:pt>
                <c:pt idx="11">
                  <c:v>-48</c:v>
                </c:pt>
                <c:pt idx="12">
                  <c:v>-48.5</c:v>
                </c:pt>
                <c:pt idx="13">
                  <c:v>-48.5</c:v>
                </c:pt>
                <c:pt idx="14">
                  <c:v>-50.25</c:v>
                </c:pt>
                <c:pt idx="15">
                  <c:v>-50.25</c:v>
                </c:pt>
                <c:pt idx="16">
                  <c:v>-51</c:v>
                </c:pt>
                <c:pt idx="17">
                  <c:v>-50.5</c:v>
                </c:pt>
                <c:pt idx="18">
                  <c:v>-50.25</c:v>
                </c:pt>
                <c:pt idx="19">
                  <c:v>-51.75</c:v>
                </c:pt>
                <c:pt idx="20">
                  <c:v>-50.75</c:v>
                </c:pt>
                <c:pt idx="21">
                  <c:v>-51.5</c:v>
                </c:pt>
                <c:pt idx="22">
                  <c:v>-52.5</c:v>
                </c:pt>
                <c:pt idx="23">
                  <c:v>-53.25</c:v>
                </c:pt>
                <c:pt idx="24">
                  <c:v>-54.5</c:v>
                </c:pt>
                <c:pt idx="25">
                  <c:v>-54.75</c:v>
                </c:pt>
                <c:pt idx="26">
                  <c:v>-57.25</c:v>
                </c:pt>
                <c:pt idx="27">
                  <c:v>-56.25</c:v>
                </c:pt>
                <c:pt idx="28">
                  <c:v>-54.25</c:v>
                </c:pt>
                <c:pt idx="29">
                  <c:v>-50.5</c:v>
                </c:pt>
                <c:pt idx="30">
                  <c:v>-46.75</c:v>
                </c:pt>
                <c:pt idx="31">
                  <c:v>-47.5</c:v>
                </c:pt>
                <c:pt idx="32">
                  <c:v>-50.5</c:v>
                </c:pt>
                <c:pt idx="33">
                  <c:v>-51.25</c:v>
                </c:pt>
                <c:pt idx="34">
                  <c:v>-50.75</c:v>
                </c:pt>
                <c:pt idx="35">
                  <c:v>-49.25</c:v>
                </c:pt>
                <c:pt idx="36">
                  <c:v>-54.25</c:v>
                </c:pt>
                <c:pt idx="37">
                  <c:v>-54</c:v>
                </c:pt>
                <c:pt idx="38">
                  <c:v>-53.75</c:v>
                </c:pt>
                <c:pt idx="39">
                  <c:v>-54.5</c:v>
                </c:pt>
                <c:pt idx="40">
                  <c:v>-55.25</c:v>
                </c:pt>
                <c:pt idx="41">
                  <c:v>-55.25</c:v>
                </c:pt>
                <c:pt idx="42">
                  <c:v>-56.5</c:v>
                </c:pt>
                <c:pt idx="43">
                  <c:v>-45.75</c:v>
                </c:pt>
                <c:pt idx="44">
                  <c:v>-39.75</c:v>
                </c:pt>
                <c:pt idx="45">
                  <c:v>-34.5</c:v>
                </c:pt>
                <c:pt idx="46">
                  <c:v>-52.25</c:v>
                </c:pt>
                <c:pt idx="47">
                  <c:v>-58.25</c:v>
                </c:pt>
                <c:pt idx="48">
                  <c:v>-62.25</c:v>
                </c:pt>
                <c:pt idx="49">
                  <c:v>-63.25</c:v>
                </c:pt>
                <c:pt idx="50">
                  <c:v>-62.25</c:v>
                </c:pt>
                <c:pt idx="51">
                  <c:v>-58.25</c:v>
                </c:pt>
                <c:pt idx="52">
                  <c:v>-58</c:v>
                </c:pt>
                <c:pt idx="53">
                  <c:v>-56.75</c:v>
                </c:pt>
                <c:pt idx="54">
                  <c:v>-57.5</c:v>
                </c:pt>
                <c:pt idx="55">
                  <c:v>-57.5</c:v>
                </c:pt>
                <c:pt idx="56">
                  <c:v>-54.75</c:v>
                </c:pt>
                <c:pt idx="57">
                  <c:v>-51.75</c:v>
                </c:pt>
                <c:pt idx="58">
                  <c:v>-50</c:v>
                </c:pt>
                <c:pt idx="59">
                  <c:v>-53.25</c:v>
                </c:pt>
                <c:pt idx="60">
                  <c:v>-49.75</c:v>
                </c:pt>
                <c:pt idx="61">
                  <c:v>-48.5</c:v>
                </c:pt>
                <c:pt idx="62">
                  <c:v>-48</c:v>
                </c:pt>
                <c:pt idx="63">
                  <c:v>-48.25</c:v>
                </c:pt>
                <c:pt idx="64">
                  <c:v>-52</c:v>
                </c:pt>
                <c:pt idx="65">
                  <c:v>-55.25</c:v>
                </c:pt>
                <c:pt idx="66">
                  <c:v>-57.25</c:v>
                </c:pt>
                <c:pt idx="67">
                  <c:v>-57.5</c:v>
                </c:pt>
                <c:pt idx="68">
                  <c:v>-59.25</c:v>
                </c:pt>
                <c:pt idx="69">
                  <c:v>-59.25</c:v>
                </c:pt>
                <c:pt idx="70">
                  <c:v>-60</c:v>
                </c:pt>
                <c:pt idx="71">
                  <c:v>-60.25</c:v>
                </c:pt>
                <c:pt idx="72">
                  <c:v>-64.75</c:v>
                </c:pt>
                <c:pt idx="73">
                  <c:v>-63</c:v>
                </c:pt>
                <c:pt idx="74">
                  <c:v>-62</c:v>
                </c:pt>
                <c:pt idx="75">
                  <c:v>-60.25</c:v>
                </c:pt>
                <c:pt idx="76">
                  <c:v>-59.25</c:v>
                </c:pt>
                <c:pt idx="77">
                  <c:v>-57.75</c:v>
                </c:pt>
                <c:pt idx="78">
                  <c:v>-57.75</c:v>
                </c:pt>
                <c:pt idx="79">
                  <c:v>-56.25</c:v>
                </c:pt>
                <c:pt idx="80">
                  <c:v>-55.5</c:v>
                </c:pt>
                <c:pt idx="81">
                  <c:v>-47</c:v>
                </c:pt>
                <c:pt idx="82">
                  <c:v>-48.75</c:v>
                </c:pt>
                <c:pt idx="83">
                  <c:v>-51.75</c:v>
                </c:pt>
                <c:pt idx="84">
                  <c:v>-52.75</c:v>
                </c:pt>
                <c:pt idx="85">
                  <c:v>-53.5</c:v>
                </c:pt>
                <c:pt idx="86">
                  <c:v>-58.75</c:v>
                </c:pt>
                <c:pt idx="87">
                  <c:v>-58.75</c:v>
                </c:pt>
                <c:pt idx="88">
                  <c:v>-60.75</c:v>
                </c:pt>
                <c:pt idx="89">
                  <c:v>-60.75</c:v>
                </c:pt>
                <c:pt idx="90">
                  <c:v>-60.75</c:v>
                </c:pt>
                <c:pt idx="91">
                  <c:v>-61.25</c:v>
                </c:pt>
                <c:pt idx="92">
                  <c:v>-61.25</c:v>
                </c:pt>
                <c:pt idx="93">
                  <c:v>-59.25</c:v>
                </c:pt>
                <c:pt idx="94">
                  <c:v>-54.75</c:v>
                </c:pt>
                <c:pt idx="95">
                  <c:v>-51.75</c:v>
                </c:pt>
                <c:pt idx="96">
                  <c:v>-59</c:v>
                </c:pt>
                <c:pt idx="97">
                  <c:v>-64</c:v>
                </c:pt>
                <c:pt idx="98">
                  <c:v>-61.25</c:v>
                </c:pt>
                <c:pt idx="99">
                  <c:v>-61.5</c:v>
                </c:pt>
                <c:pt idx="100">
                  <c:v>-61.25</c:v>
                </c:pt>
                <c:pt idx="101">
                  <c:v>-62.5</c:v>
                </c:pt>
                <c:pt idx="102">
                  <c:v>-58.75</c:v>
                </c:pt>
                <c:pt idx="103">
                  <c:v>-62.25</c:v>
                </c:pt>
                <c:pt idx="104">
                  <c:v>-63.75</c:v>
                </c:pt>
                <c:pt idx="105">
                  <c:v>-63.5</c:v>
                </c:pt>
                <c:pt idx="106">
                  <c:v>-63.75</c:v>
                </c:pt>
                <c:pt idx="107">
                  <c:v>-64.75</c:v>
                </c:pt>
                <c:pt idx="108">
                  <c:v>-69</c:v>
                </c:pt>
                <c:pt idx="109">
                  <c:v>-65</c:v>
                </c:pt>
                <c:pt idx="110">
                  <c:v>-64</c:v>
                </c:pt>
                <c:pt idx="111">
                  <c:v>-63</c:v>
                </c:pt>
                <c:pt idx="112">
                  <c:v>-63</c:v>
                </c:pt>
                <c:pt idx="113">
                  <c:v>-50.5</c:v>
                </c:pt>
                <c:pt idx="114">
                  <c:v>-60.5</c:v>
                </c:pt>
                <c:pt idx="115">
                  <c:v>-61</c:v>
                </c:pt>
                <c:pt idx="116">
                  <c:v>-64.5</c:v>
                </c:pt>
                <c:pt idx="117">
                  <c:v>-64</c:v>
                </c:pt>
                <c:pt idx="118">
                  <c:v>-66.5</c:v>
                </c:pt>
                <c:pt idx="119">
                  <c:v>-66</c:v>
                </c:pt>
                <c:pt idx="120">
                  <c:v>-67.75</c:v>
                </c:pt>
                <c:pt idx="121">
                  <c:v>-71.5</c:v>
                </c:pt>
                <c:pt idx="122">
                  <c:v>-69.75</c:v>
                </c:pt>
                <c:pt idx="123">
                  <c:v>-52.75</c:v>
                </c:pt>
                <c:pt idx="124">
                  <c:v>-50.25</c:v>
                </c:pt>
                <c:pt idx="125">
                  <c:v>-46.75</c:v>
                </c:pt>
                <c:pt idx="126">
                  <c:v>-46.75</c:v>
                </c:pt>
                <c:pt idx="127">
                  <c:v>-62.5</c:v>
                </c:pt>
                <c:pt idx="128">
                  <c:v>-65</c:v>
                </c:pt>
                <c:pt idx="129">
                  <c:v>-64.25</c:v>
                </c:pt>
                <c:pt idx="130">
                  <c:v>-67.25</c:v>
                </c:pt>
                <c:pt idx="131">
                  <c:v>-67.25</c:v>
                </c:pt>
                <c:pt idx="132">
                  <c:v>-67.25</c:v>
                </c:pt>
                <c:pt idx="133">
                  <c:v>-67.75</c:v>
                </c:pt>
                <c:pt idx="134">
                  <c:v>-67.25</c:v>
                </c:pt>
                <c:pt idx="135">
                  <c:v>-71</c:v>
                </c:pt>
                <c:pt idx="136">
                  <c:v>-69.92</c:v>
                </c:pt>
                <c:pt idx="137">
                  <c:v>-68.6</c:v>
                </c:pt>
                <c:pt idx="138">
                  <c:v>-67.75</c:v>
                </c:pt>
                <c:pt idx="139">
                  <c:v>-67.5</c:v>
                </c:pt>
                <c:pt idx="140">
                  <c:v>-67.25</c:v>
                </c:pt>
                <c:pt idx="141">
                  <c:v>-67.5</c:v>
                </c:pt>
                <c:pt idx="142">
                  <c:v>-66.75</c:v>
                </c:pt>
                <c:pt idx="143">
                  <c:v>-66.5</c:v>
                </c:pt>
                <c:pt idx="144">
                  <c:v>-65.15</c:v>
                </c:pt>
                <c:pt idx="145">
                  <c:v>-64</c:v>
                </c:pt>
                <c:pt idx="146">
                  <c:v>-67.75</c:v>
                </c:pt>
                <c:pt idx="147">
                  <c:v>-66.25</c:v>
                </c:pt>
                <c:pt idx="148">
                  <c:v>-67.25</c:v>
                </c:pt>
                <c:pt idx="149">
                  <c:v>-68.25</c:v>
                </c:pt>
                <c:pt idx="150">
                  <c:v>-67</c:v>
                </c:pt>
                <c:pt idx="151">
                  <c:v>-66</c:v>
                </c:pt>
                <c:pt idx="152">
                  <c:v>-38.5</c:v>
                </c:pt>
                <c:pt idx="153">
                  <c:v>-37</c:v>
                </c:pt>
                <c:pt idx="154">
                  <c:v>-40.5</c:v>
                </c:pt>
                <c:pt idx="155">
                  <c:v>-41.75</c:v>
                </c:pt>
                <c:pt idx="156">
                  <c:v>-42</c:v>
                </c:pt>
                <c:pt idx="157">
                  <c:v>-44.5</c:v>
                </c:pt>
                <c:pt idx="158">
                  <c:v>-46.25</c:v>
                </c:pt>
                <c:pt idx="159">
                  <c:v>-45.75</c:v>
                </c:pt>
                <c:pt idx="160">
                  <c:v>-48.75</c:v>
                </c:pt>
                <c:pt idx="161">
                  <c:v>-54.5</c:v>
                </c:pt>
                <c:pt idx="162">
                  <c:v>-56</c:v>
                </c:pt>
                <c:pt idx="163">
                  <c:v>-58.75</c:v>
                </c:pt>
                <c:pt idx="164">
                  <c:v>-60</c:v>
                </c:pt>
                <c:pt idx="165">
                  <c:v>-63.25</c:v>
                </c:pt>
                <c:pt idx="166">
                  <c:v>-62.75</c:v>
                </c:pt>
                <c:pt idx="167">
                  <c:v>-63.75</c:v>
                </c:pt>
                <c:pt idx="168">
                  <c:v>-63.25</c:v>
                </c:pt>
                <c:pt idx="169">
                  <c:v>-60</c:v>
                </c:pt>
                <c:pt idx="170">
                  <c:v>-46.75</c:v>
                </c:pt>
                <c:pt idx="171">
                  <c:v>-37</c:v>
                </c:pt>
                <c:pt idx="172">
                  <c:v>-38.5</c:v>
                </c:pt>
                <c:pt idx="173">
                  <c:v>-37</c:v>
                </c:pt>
                <c:pt idx="174">
                  <c:v>-38.25</c:v>
                </c:pt>
                <c:pt idx="175">
                  <c:v>-39.5</c:v>
                </c:pt>
                <c:pt idx="176">
                  <c:v>-45.5</c:v>
                </c:pt>
                <c:pt idx="177">
                  <c:v>-54.5</c:v>
                </c:pt>
                <c:pt idx="178">
                  <c:v>-56.5</c:v>
                </c:pt>
                <c:pt idx="179">
                  <c:v>-58.5</c:v>
                </c:pt>
                <c:pt idx="180">
                  <c:v>-61.25</c:v>
                </c:pt>
                <c:pt idx="181">
                  <c:v>-60.25</c:v>
                </c:pt>
              </c:numCache>
            </c:numRef>
          </c:val>
          <c:smooth val="0"/>
        </c:ser>
        <c:marker val="1"/>
        <c:axId val="32178936"/>
        <c:axId val="21174969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56356994"/>
        <c:axId val="37450899"/>
      </c:lineChart>
      <c:catAx>
        <c:axId val="3217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174969"/>
        <c:crossesAt val="-80"/>
        <c:auto val="0"/>
        <c:lblOffset val="100"/>
        <c:tickLblSkip val="4"/>
        <c:tickMarkSkip val="4"/>
        <c:noMultiLvlLbl val="0"/>
      </c:catAx>
      <c:valAx>
        <c:axId val="2117496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178936"/>
        <c:crossesAt val="1"/>
        <c:crossBetween val="midCat"/>
        <c:dispUnits/>
      </c:valAx>
      <c:catAx>
        <c:axId val="56356994"/>
        <c:scaling>
          <c:orientation val="minMax"/>
        </c:scaling>
        <c:axPos val="b"/>
        <c:delete val="1"/>
        <c:majorTickMark val="in"/>
        <c:minorTickMark val="none"/>
        <c:tickLblPos val="nextTo"/>
        <c:crossAx val="37450899"/>
        <c:crosses val="autoZero"/>
        <c:auto val="0"/>
        <c:lblOffset val="100"/>
        <c:noMultiLvlLbl val="0"/>
      </c:catAx>
      <c:valAx>
        <c:axId val="3745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5699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A!$G$3:$G$184</c:f>
              <c:numCache>
                <c:ptCount val="182"/>
                <c:pt idx="0">
                  <c:v>-78</c:v>
                </c:pt>
                <c:pt idx="1">
                  <c:v>-37.5</c:v>
                </c:pt>
                <c:pt idx="2">
                  <c:v>-41.25</c:v>
                </c:pt>
                <c:pt idx="3">
                  <c:v>-41.25</c:v>
                </c:pt>
                <c:pt idx="4">
                  <c:v>-41.75</c:v>
                </c:pt>
                <c:pt idx="5">
                  <c:v>-42</c:v>
                </c:pt>
                <c:pt idx="6">
                  <c:v>-42.75</c:v>
                </c:pt>
                <c:pt idx="7">
                  <c:v>-42.25</c:v>
                </c:pt>
                <c:pt idx="8">
                  <c:v>-43</c:v>
                </c:pt>
                <c:pt idx="9">
                  <c:v>-43</c:v>
                </c:pt>
                <c:pt idx="10">
                  <c:v>-37.25</c:v>
                </c:pt>
                <c:pt idx="11">
                  <c:v>-40.5</c:v>
                </c:pt>
                <c:pt idx="12">
                  <c:v>-41</c:v>
                </c:pt>
                <c:pt idx="13">
                  <c:v>-40.75</c:v>
                </c:pt>
                <c:pt idx="14">
                  <c:v>-42.75</c:v>
                </c:pt>
                <c:pt idx="15">
                  <c:v>-42.75</c:v>
                </c:pt>
                <c:pt idx="16">
                  <c:v>-43.25</c:v>
                </c:pt>
                <c:pt idx="17">
                  <c:v>-43.25</c:v>
                </c:pt>
                <c:pt idx="18">
                  <c:v>-43.25</c:v>
                </c:pt>
                <c:pt idx="19">
                  <c:v>-43.5</c:v>
                </c:pt>
                <c:pt idx="20">
                  <c:v>-44.5</c:v>
                </c:pt>
                <c:pt idx="21">
                  <c:v>-44</c:v>
                </c:pt>
                <c:pt idx="22">
                  <c:v>-45.25</c:v>
                </c:pt>
                <c:pt idx="23">
                  <c:v>-46.25</c:v>
                </c:pt>
                <c:pt idx="24">
                  <c:v>-47.5</c:v>
                </c:pt>
                <c:pt idx="25">
                  <c:v>-47.25</c:v>
                </c:pt>
                <c:pt idx="26">
                  <c:v>-50</c:v>
                </c:pt>
                <c:pt idx="27">
                  <c:v>-49.5</c:v>
                </c:pt>
                <c:pt idx="28">
                  <c:v>-46.75</c:v>
                </c:pt>
                <c:pt idx="29">
                  <c:v>-42.75</c:v>
                </c:pt>
                <c:pt idx="30">
                  <c:v>-39</c:v>
                </c:pt>
                <c:pt idx="31">
                  <c:v>-38.75</c:v>
                </c:pt>
                <c:pt idx="32">
                  <c:v>-42.5</c:v>
                </c:pt>
                <c:pt idx="33">
                  <c:v>-43.75</c:v>
                </c:pt>
                <c:pt idx="34">
                  <c:v>-43.25</c:v>
                </c:pt>
                <c:pt idx="35">
                  <c:v>-41.75</c:v>
                </c:pt>
                <c:pt idx="36">
                  <c:v>-47.25</c:v>
                </c:pt>
                <c:pt idx="37">
                  <c:v>-47.75</c:v>
                </c:pt>
                <c:pt idx="38">
                  <c:v>-48</c:v>
                </c:pt>
                <c:pt idx="39">
                  <c:v>-48.5</c:v>
                </c:pt>
                <c:pt idx="40">
                  <c:v>-49</c:v>
                </c:pt>
                <c:pt idx="41">
                  <c:v>-49.25</c:v>
                </c:pt>
                <c:pt idx="42">
                  <c:v>-50.5</c:v>
                </c:pt>
                <c:pt idx="43">
                  <c:v>-36</c:v>
                </c:pt>
                <c:pt idx="44">
                  <c:v>-26.25</c:v>
                </c:pt>
                <c:pt idx="45">
                  <c:v>-22.75</c:v>
                </c:pt>
                <c:pt idx="46">
                  <c:v>-48</c:v>
                </c:pt>
                <c:pt idx="47">
                  <c:v>-55</c:v>
                </c:pt>
                <c:pt idx="48">
                  <c:v>-57.25</c:v>
                </c:pt>
                <c:pt idx="49">
                  <c:v>-57.75</c:v>
                </c:pt>
                <c:pt idx="50">
                  <c:v>-57.75</c:v>
                </c:pt>
                <c:pt idx="51">
                  <c:v>-52.5</c:v>
                </c:pt>
                <c:pt idx="52">
                  <c:v>-52.25</c:v>
                </c:pt>
                <c:pt idx="54">
                  <c:v>-50.25</c:v>
                </c:pt>
                <c:pt idx="55">
                  <c:v>-51</c:v>
                </c:pt>
                <c:pt idx="56">
                  <c:v>-45.5</c:v>
                </c:pt>
                <c:pt idx="57">
                  <c:v>-42</c:v>
                </c:pt>
                <c:pt idx="58">
                  <c:v>-39.5</c:v>
                </c:pt>
                <c:pt idx="59">
                  <c:v>-39</c:v>
                </c:pt>
                <c:pt idx="60">
                  <c:v>-39.75</c:v>
                </c:pt>
                <c:pt idx="61">
                  <c:v>-37.25</c:v>
                </c:pt>
                <c:pt idx="62">
                  <c:v>-37</c:v>
                </c:pt>
                <c:pt idx="63">
                  <c:v>-37</c:v>
                </c:pt>
                <c:pt idx="64">
                  <c:v>-42.75</c:v>
                </c:pt>
                <c:pt idx="65">
                  <c:v>-48</c:v>
                </c:pt>
                <c:pt idx="66">
                  <c:v>-49.75</c:v>
                </c:pt>
                <c:pt idx="67">
                  <c:v>-49.75</c:v>
                </c:pt>
                <c:pt idx="68">
                  <c:v>-52.5</c:v>
                </c:pt>
                <c:pt idx="69">
                  <c:v>-52.75</c:v>
                </c:pt>
                <c:pt idx="70">
                  <c:v>-54.25</c:v>
                </c:pt>
                <c:pt idx="71">
                  <c:v>-55.25</c:v>
                </c:pt>
                <c:pt idx="72">
                  <c:v>-59.25</c:v>
                </c:pt>
                <c:pt idx="73">
                  <c:v>-56.5</c:v>
                </c:pt>
                <c:pt idx="74">
                  <c:v>-56.75</c:v>
                </c:pt>
                <c:pt idx="75">
                  <c:v>-54.75</c:v>
                </c:pt>
                <c:pt idx="76">
                  <c:v>-51.5</c:v>
                </c:pt>
                <c:pt idx="77">
                  <c:v>-49.75</c:v>
                </c:pt>
                <c:pt idx="78">
                  <c:v>-50.5</c:v>
                </c:pt>
                <c:pt idx="79">
                  <c:v>-48.5</c:v>
                </c:pt>
                <c:pt idx="80">
                  <c:v>-47</c:v>
                </c:pt>
                <c:pt idx="81">
                  <c:v>-34.75</c:v>
                </c:pt>
                <c:pt idx="82">
                  <c:v>-38.75</c:v>
                </c:pt>
                <c:pt idx="83">
                  <c:v>-41.75</c:v>
                </c:pt>
                <c:pt idx="84">
                  <c:v>-42.75</c:v>
                </c:pt>
                <c:pt idx="85">
                  <c:v>-44.5</c:v>
                </c:pt>
                <c:pt idx="86">
                  <c:v>-53.25</c:v>
                </c:pt>
                <c:pt idx="87">
                  <c:v>-53</c:v>
                </c:pt>
                <c:pt idx="88">
                  <c:v>-54.25</c:v>
                </c:pt>
                <c:pt idx="89">
                  <c:v>-55</c:v>
                </c:pt>
                <c:pt idx="90">
                  <c:v>-55.5</c:v>
                </c:pt>
                <c:pt idx="91">
                  <c:v>-56.75</c:v>
                </c:pt>
                <c:pt idx="92">
                  <c:v>-56.75</c:v>
                </c:pt>
                <c:pt idx="93">
                  <c:v>-53.75</c:v>
                </c:pt>
                <c:pt idx="94">
                  <c:v>-47.75</c:v>
                </c:pt>
                <c:pt idx="95">
                  <c:v>-42.75</c:v>
                </c:pt>
                <c:pt idx="96">
                  <c:v>-55.25</c:v>
                </c:pt>
                <c:pt idx="97">
                  <c:v>-56.25</c:v>
                </c:pt>
                <c:pt idx="98">
                  <c:v>-58</c:v>
                </c:pt>
                <c:pt idx="99">
                  <c:v>-58</c:v>
                </c:pt>
                <c:pt idx="100">
                  <c:v>-58</c:v>
                </c:pt>
                <c:pt idx="101">
                  <c:v>-59.25</c:v>
                </c:pt>
                <c:pt idx="102">
                  <c:v>-59.5</c:v>
                </c:pt>
                <c:pt idx="103">
                  <c:v>-59.25</c:v>
                </c:pt>
                <c:pt idx="104">
                  <c:v>-60.75</c:v>
                </c:pt>
                <c:pt idx="105">
                  <c:v>-61</c:v>
                </c:pt>
                <c:pt idx="106">
                  <c:v>-61.5</c:v>
                </c:pt>
                <c:pt idx="107">
                  <c:v>-63</c:v>
                </c:pt>
                <c:pt idx="108">
                  <c:v>-65.5</c:v>
                </c:pt>
                <c:pt idx="109">
                  <c:v>-64.5</c:v>
                </c:pt>
                <c:pt idx="110">
                  <c:v>-58.75</c:v>
                </c:pt>
                <c:pt idx="111">
                  <c:v>-56.75</c:v>
                </c:pt>
                <c:pt idx="112">
                  <c:v>-57.75</c:v>
                </c:pt>
                <c:pt idx="113">
                  <c:v>-39.25</c:v>
                </c:pt>
                <c:pt idx="114">
                  <c:v>-53</c:v>
                </c:pt>
                <c:pt idx="115">
                  <c:v>-55.75</c:v>
                </c:pt>
                <c:pt idx="116">
                  <c:v>-58.25</c:v>
                </c:pt>
                <c:pt idx="117">
                  <c:v>-60.25</c:v>
                </c:pt>
                <c:pt idx="118">
                  <c:v>-62.5</c:v>
                </c:pt>
                <c:pt idx="119">
                  <c:v>-63</c:v>
                </c:pt>
                <c:pt idx="120">
                  <c:v>-64.25</c:v>
                </c:pt>
                <c:pt idx="121">
                  <c:v>-67.75</c:v>
                </c:pt>
                <c:pt idx="122">
                  <c:v>-65.5</c:v>
                </c:pt>
                <c:pt idx="123">
                  <c:v>-38.5</c:v>
                </c:pt>
                <c:pt idx="124">
                  <c:v>-37.75</c:v>
                </c:pt>
                <c:pt idx="125">
                  <c:v>-34.5</c:v>
                </c:pt>
                <c:pt idx="126">
                  <c:v>-35.75</c:v>
                </c:pt>
                <c:pt idx="127">
                  <c:v>-59</c:v>
                </c:pt>
                <c:pt idx="128">
                  <c:v>-61.25</c:v>
                </c:pt>
                <c:pt idx="129">
                  <c:v>-60.5</c:v>
                </c:pt>
                <c:pt idx="130">
                  <c:v>-64.75</c:v>
                </c:pt>
                <c:pt idx="131">
                  <c:v>-64.75</c:v>
                </c:pt>
                <c:pt idx="132">
                  <c:v>-65</c:v>
                </c:pt>
                <c:pt idx="133">
                  <c:v>-65.5</c:v>
                </c:pt>
                <c:pt idx="134">
                  <c:v>-65</c:v>
                </c:pt>
                <c:pt idx="135">
                  <c:v>-69.25</c:v>
                </c:pt>
                <c:pt idx="136">
                  <c:v>-67.02</c:v>
                </c:pt>
                <c:pt idx="137">
                  <c:v>-65.1</c:v>
                </c:pt>
                <c:pt idx="138">
                  <c:v>-65.25</c:v>
                </c:pt>
                <c:pt idx="139">
                  <c:v>-64.75</c:v>
                </c:pt>
                <c:pt idx="140">
                  <c:v>-67.5</c:v>
                </c:pt>
                <c:pt idx="141">
                  <c:v>-65.25</c:v>
                </c:pt>
                <c:pt idx="142">
                  <c:v>-64</c:v>
                </c:pt>
                <c:pt idx="143">
                  <c:v>-62.5</c:v>
                </c:pt>
                <c:pt idx="144">
                  <c:v>-60.25</c:v>
                </c:pt>
                <c:pt idx="145">
                  <c:v>-61.75</c:v>
                </c:pt>
                <c:pt idx="146">
                  <c:v>-62.25</c:v>
                </c:pt>
                <c:pt idx="147">
                  <c:v>-64</c:v>
                </c:pt>
                <c:pt idx="148">
                  <c:v>-64.5</c:v>
                </c:pt>
                <c:pt idx="149">
                  <c:v>-65.5</c:v>
                </c:pt>
                <c:pt idx="150">
                  <c:v>-65.25</c:v>
                </c:pt>
                <c:pt idx="151">
                  <c:v>-62.5</c:v>
                </c:pt>
                <c:pt idx="152">
                  <c:v>-28.5</c:v>
                </c:pt>
                <c:pt idx="153">
                  <c:v>-26.25</c:v>
                </c:pt>
                <c:pt idx="154">
                  <c:v>-29.5</c:v>
                </c:pt>
                <c:pt idx="155">
                  <c:v>-30.5</c:v>
                </c:pt>
                <c:pt idx="156">
                  <c:v>-31</c:v>
                </c:pt>
                <c:pt idx="157">
                  <c:v>-34.5</c:v>
                </c:pt>
                <c:pt idx="159">
                  <c:v>-36.75</c:v>
                </c:pt>
                <c:pt idx="160">
                  <c:v>-39.75</c:v>
                </c:pt>
                <c:pt idx="161">
                  <c:v>-49</c:v>
                </c:pt>
                <c:pt idx="162">
                  <c:v>-49.25</c:v>
                </c:pt>
                <c:pt idx="163">
                  <c:v>-53.25</c:v>
                </c:pt>
                <c:pt idx="164">
                  <c:v>-54.75</c:v>
                </c:pt>
                <c:pt idx="165">
                  <c:v>-60.37</c:v>
                </c:pt>
                <c:pt idx="166">
                  <c:v>-58.25</c:v>
                </c:pt>
                <c:pt idx="167">
                  <c:v>-61.25</c:v>
                </c:pt>
                <c:pt idx="168">
                  <c:v>-57.75</c:v>
                </c:pt>
                <c:pt idx="169">
                  <c:v>-53.75</c:v>
                </c:pt>
                <c:pt idx="170">
                  <c:v>-36.5</c:v>
                </c:pt>
                <c:pt idx="171">
                  <c:v>-28.25</c:v>
                </c:pt>
                <c:pt idx="172">
                  <c:v>-30.5</c:v>
                </c:pt>
                <c:pt idx="173">
                  <c:v>-28</c:v>
                </c:pt>
                <c:pt idx="174">
                  <c:v>-29.75</c:v>
                </c:pt>
                <c:pt idx="175">
                  <c:v>-30.5</c:v>
                </c:pt>
                <c:pt idx="176">
                  <c:v>-37.25</c:v>
                </c:pt>
                <c:pt idx="177">
                  <c:v>-47</c:v>
                </c:pt>
                <c:pt idx="178">
                  <c:v>-50.5</c:v>
                </c:pt>
                <c:pt idx="179">
                  <c:v>-53</c:v>
                </c:pt>
                <c:pt idx="180">
                  <c:v>-56.25</c:v>
                </c:pt>
                <c:pt idx="181">
                  <c:v>-55.25</c:v>
                </c:pt>
              </c:numCache>
            </c:numRef>
          </c:val>
          <c:smooth val="0"/>
        </c:ser>
        <c:marker val="1"/>
        <c:axId val="1513772"/>
        <c:axId val="13623949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55506678"/>
        <c:axId val="29798055"/>
      </c:lineChart>
      <c:catAx>
        <c:axId val="151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623949"/>
        <c:crossesAt val="-80"/>
        <c:auto val="0"/>
        <c:lblOffset val="100"/>
        <c:tickLblSkip val="4"/>
        <c:tickMarkSkip val="4"/>
        <c:noMultiLvlLbl val="0"/>
      </c:catAx>
      <c:valAx>
        <c:axId val="13623949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13772"/>
        <c:crossesAt val="1"/>
        <c:crossBetween val="midCat"/>
        <c:dispUnits/>
      </c:valAx>
      <c:catAx>
        <c:axId val="55506678"/>
        <c:scaling>
          <c:orientation val="minMax"/>
        </c:scaling>
        <c:axPos val="b"/>
        <c:delete val="1"/>
        <c:majorTickMark val="in"/>
        <c:minorTickMark val="none"/>
        <c:tickLblPos val="nextTo"/>
        <c:crossAx val="29798055"/>
        <c:crosses val="autoZero"/>
        <c:auto val="0"/>
        <c:lblOffset val="100"/>
        <c:noMultiLvlLbl val="0"/>
      </c:catAx>
      <c:valAx>
        <c:axId val="29798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0667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925"/>
          <c:w val="0.7325"/>
          <c:h val="0.83375"/>
        </c:manualLayout>
      </c:layout>
      <c:lineChart>
        <c:grouping val="standard"/>
        <c:varyColors val="0"/>
        <c:ser>
          <c:idx val="0"/>
          <c:order val="0"/>
          <c:tx>
            <c:v>Piezometer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A!$I$3:$I$184</c:f>
              <c:numCache>
                <c:ptCount val="182"/>
                <c:pt idx="0">
                  <c:v>-37.8</c:v>
                </c:pt>
                <c:pt idx="1">
                  <c:v>6.75</c:v>
                </c:pt>
                <c:pt idx="2">
                  <c:v>4</c:v>
                </c:pt>
                <c:pt idx="3">
                  <c:v>4.25</c:v>
                </c:pt>
                <c:pt idx="4">
                  <c:v>4</c:v>
                </c:pt>
                <c:pt idx="5">
                  <c:v>3.25</c:v>
                </c:pt>
                <c:pt idx="6">
                  <c:v>3</c:v>
                </c:pt>
                <c:pt idx="7">
                  <c:v>3.75</c:v>
                </c:pt>
                <c:pt idx="8">
                  <c:v>2.75</c:v>
                </c:pt>
                <c:pt idx="9">
                  <c:v>2.75</c:v>
                </c:pt>
                <c:pt idx="10">
                  <c:v>8.5</c:v>
                </c:pt>
                <c:pt idx="11">
                  <c:v>7</c:v>
                </c:pt>
                <c:pt idx="12">
                  <c:v>6.75</c:v>
                </c:pt>
                <c:pt idx="13">
                  <c:v>7</c:v>
                </c:pt>
                <c:pt idx="14">
                  <c:v>6.25</c:v>
                </c:pt>
                <c:pt idx="15">
                  <c:v>6.25</c:v>
                </c:pt>
                <c:pt idx="16">
                  <c:v>6.25</c:v>
                </c:pt>
                <c:pt idx="17">
                  <c:v>6.75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7.25</c:v>
                </c:pt>
                <c:pt idx="22">
                  <c:v>6.75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4.25</c:v>
                </c:pt>
                <c:pt idx="27">
                  <c:v>3</c:v>
                </c:pt>
                <c:pt idx="28">
                  <c:v>5.25</c:v>
                </c:pt>
                <c:pt idx="29">
                  <c:v>7</c:v>
                </c:pt>
                <c:pt idx="30">
                  <c:v>8</c:v>
                </c:pt>
                <c:pt idx="31">
                  <c:v>9.25</c:v>
                </c:pt>
                <c:pt idx="32">
                  <c:v>8</c:v>
                </c:pt>
                <c:pt idx="33">
                  <c:v>7.5</c:v>
                </c:pt>
                <c:pt idx="34">
                  <c:v>8</c:v>
                </c:pt>
                <c:pt idx="35">
                  <c:v>8.75</c:v>
                </c:pt>
                <c:pt idx="36">
                  <c:v>7.25</c:v>
                </c:pt>
                <c:pt idx="37">
                  <c:v>7.25</c:v>
                </c:pt>
                <c:pt idx="38">
                  <c:v>7.5</c:v>
                </c:pt>
                <c:pt idx="39">
                  <c:v>7.5</c:v>
                </c:pt>
                <c:pt idx="40">
                  <c:v>7.5</c:v>
                </c:pt>
                <c:pt idx="41">
                  <c:v>7.25</c:v>
                </c:pt>
                <c:pt idx="42">
                  <c:v>6.75</c:v>
                </c:pt>
                <c:pt idx="43">
                  <c:v>7</c:v>
                </c:pt>
                <c:pt idx="44">
                  <c:v>11.25</c:v>
                </c:pt>
                <c:pt idx="45">
                  <c:v>13</c:v>
                </c:pt>
                <c:pt idx="46">
                  <c:v>1.5</c:v>
                </c:pt>
                <c:pt idx="47">
                  <c:v>-2.5</c:v>
                </c:pt>
                <c:pt idx="48">
                  <c:v>-4.25</c:v>
                </c:pt>
                <c:pt idx="49">
                  <c:v>-6.25</c:v>
                </c:pt>
                <c:pt idx="50">
                  <c:v>-7.625</c:v>
                </c:pt>
                <c:pt idx="51">
                  <c:v>-4</c:v>
                </c:pt>
                <c:pt idx="52">
                  <c:v>-3.75</c:v>
                </c:pt>
                <c:pt idx="54">
                  <c:v>-2.25</c:v>
                </c:pt>
                <c:pt idx="55">
                  <c:v>-2.25</c:v>
                </c:pt>
                <c:pt idx="56">
                  <c:v>0.5</c:v>
                </c:pt>
                <c:pt idx="57">
                  <c:v>2</c:v>
                </c:pt>
                <c:pt idx="58">
                  <c:v>3.25</c:v>
                </c:pt>
                <c:pt idx="59">
                  <c:v>3.5</c:v>
                </c:pt>
                <c:pt idx="60">
                  <c:v>3.5</c:v>
                </c:pt>
                <c:pt idx="61">
                  <c:v>4.5</c:v>
                </c:pt>
                <c:pt idx="62">
                  <c:v>4.75</c:v>
                </c:pt>
                <c:pt idx="63">
                  <c:v>4.75</c:v>
                </c:pt>
                <c:pt idx="64">
                  <c:v>1.5</c:v>
                </c:pt>
                <c:pt idx="65">
                  <c:v>-1.25</c:v>
                </c:pt>
                <c:pt idx="66">
                  <c:v>-2</c:v>
                </c:pt>
                <c:pt idx="67">
                  <c:v>-1.75</c:v>
                </c:pt>
                <c:pt idx="68">
                  <c:v>-3.25</c:v>
                </c:pt>
                <c:pt idx="69">
                  <c:v>-3.5</c:v>
                </c:pt>
                <c:pt idx="70">
                  <c:v>-4.25</c:v>
                </c:pt>
                <c:pt idx="71">
                  <c:v>-5</c:v>
                </c:pt>
                <c:pt idx="72">
                  <c:v>-6.5</c:v>
                </c:pt>
                <c:pt idx="73">
                  <c:v>-5.25</c:v>
                </c:pt>
                <c:pt idx="74">
                  <c:v>-6.25</c:v>
                </c:pt>
                <c:pt idx="75">
                  <c:v>-5.25</c:v>
                </c:pt>
                <c:pt idx="76">
                  <c:v>-3.5</c:v>
                </c:pt>
                <c:pt idx="77">
                  <c:v>-2</c:v>
                </c:pt>
                <c:pt idx="78">
                  <c:v>-2</c:v>
                </c:pt>
                <c:pt idx="79">
                  <c:v>-2.25</c:v>
                </c:pt>
                <c:pt idx="80">
                  <c:v>-1.25</c:v>
                </c:pt>
                <c:pt idx="81">
                  <c:v>5</c:v>
                </c:pt>
                <c:pt idx="82">
                  <c:v>3</c:v>
                </c:pt>
                <c:pt idx="83">
                  <c:v>1.5</c:v>
                </c:pt>
                <c:pt idx="84">
                  <c:v>1.25</c:v>
                </c:pt>
                <c:pt idx="85">
                  <c:v>0.75</c:v>
                </c:pt>
                <c:pt idx="86">
                  <c:v>-3.5</c:v>
                </c:pt>
                <c:pt idx="87">
                  <c:v>-2.75</c:v>
                </c:pt>
                <c:pt idx="88">
                  <c:v>-3.75</c:v>
                </c:pt>
                <c:pt idx="89">
                  <c:v>-4.5</c:v>
                </c:pt>
                <c:pt idx="90">
                  <c:v>-4.5</c:v>
                </c:pt>
                <c:pt idx="91">
                  <c:v>-4.5</c:v>
                </c:pt>
                <c:pt idx="92">
                  <c:v>-4.25</c:v>
                </c:pt>
                <c:pt idx="93">
                  <c:v>-5.25</c:v>
                </c:pt>
                <c:pt idx="94">
                  <c:v>-0.75</c:v>
                </c:pt>
                <c:pt idx="95">
                  <c:v>1.25</c:v>
                </c:pt>
                <c:pt idx="96">
                  <c:v>-6</c:v>
                </c:pt>
                <c:pt idx="97">
                  <c:v>-7</c:v>
                </c:pt>
                <c:pt idx="98">
                  <c:v>-8</c:v>
                </c:pt>
                <c:pt idx="99">
                  <c:v>-8</c:v>
                </c:pt>
                <c:pt idx="100">
                  <c:v>-8</c:v>
                </c:pt>
                <c:pt idx="101">
                  <c:v>-9</c:v>
                </c:pt>
                <c:pt idx="102">
                  <c:v>-7.25</c:v>
                </c:pt>
                <c:pt idx="103">
                  <c:v>-7.5</c:v>
                </c:pt>
                <c:pt idx="104">
                  <c:v>-8.5</c:v>
                </c:pt>
                <c:pt idx="105">
                  <c:v>-8</c:v>
                </c:pt>
                <c:pt idx="106">
                  <c:v>-10.25</c:v>
                </c:pt>
                <c:pt idx="107">
                  <c:v>-11.5</c:v>
                </c:pt>
                <c:pt idx="108">
                  <c:v>-12.25</c:v>
                </c:pt>
                <c:pt idx="109">
                  <c:v>-9.75</c:v>
                </c:pt>
                <c:pt idx="110">
                  <c:v>-9</c:v>
                </c:pt>
                <c:pt idx="111">
                  <c:v>-7.25</c:v>
                </c:pt>
                <c:pt idx="112">
                  <c:v>-8.75</c:v>
                </c:pt>
                <c:pt idx="113">
                  <c:v>1.75</c:v>
                </c:pt>
                <c:pt idx="114">
                  <c:v>-5.75</c:v>
                </c:pt>
                <c:pt idx="115">
                  <c:v>-6.75</c:v>
                </c:pt>
                <c:pt idx="116">
                  <c:v>-8.5</c:v>
                </c:pt>
                <c:pt idx="117">
                  <c:v>-9.25</c:v>
                </c:pt>
                <c:pt idx="118">
                  <c:v>-11.5</c:v>
                </c:pt>
                <c:pt idx="119">
                  <c:v>-11.25</c:v>
                </c:pt>
                <c:pt idx="120">
                  <c:v>-10.5</c:v>
                </c:pt>
                <c:pt idx="121">
                  <c:v>-14.25</c:v>
                </c:pt>
                <c:pt idx="122">
                  <c:v>-13.25</c:v>
                </c:pt>
                <c:pt idx="123">
                  <c:v>3.75</c:v>
                </c:pt>
                <c:pt idx="124">
                  <c:v>4</c:v>
                </c:pt>
                <c:pt idx="125">
                  <c:v>5.25</c:v>
                </c:pt>
                <c:pt idx="126">
                  <c:v>4.75</c:v>
                </c:pt>
                <c:pt idx="127">
                  <c:v>-11</c:v>
                </c:pt>
                <c:pt idx="128">
                  <c:v>-12.5</c:v>
                </c:pt>
                <c:pt idx="129">
                  <c:v>-12</c:v>
                </c:pt>
                <c:pt idx="130">
                  <c:v>-16</c:v>
                </c:pt>
                <c:pt idx="131">
                  <c:v>-16</c:v>
                </c:pt>
                <c:pt idx="132">
                  <c:v>-17.75</c:v>
                </c:pt>
                <c:pt idx="133">
                  <c:v>-18</c:v>
                </c:pt>
                <c:pt idx="134">
                  <c:v>-16.25</c:v>
                </c:pt>
                <c:pt idx="135">
                  <c:v>-20.75</c:v>
                </c:pt>
                <c:pt idx="136">
                  <c:v>-17.42</c:v>
                </c:pt>
                <c:pt idx="137">
                  <c:v>-15.619999999999997</c:v>
                </c:pt>
                <c:pt idx="138">
                  <c:v>-16.25</c:v>
                </c:pt>
                <c:pt idx="139">
                  <c:v>-16.25</c:v>
                </c:pt>
                <c:pt idx="140">
                  <c:v>-16.5</c:v>
                </c:pt>
                <c:pt idx="141">
                  <c:v>-16.5</c:v>
                </c:pt>
                <c:pt idx="142">
                  <c:v>-15.25</c:v>
                </c:pt>
                <c:pt idx="143">
                  <c:v>-14.25</c:v>
                </c:pt>
                <c:pt idx="144">
                  <c:v>-10</c:v>
                </c:pt>
                <c:pt idx="145">
                  <c:v>-16.5</c:v>
                </c:pt>
                <c:pt idx="146">
                  <c:v>-17.25</c:v>
                </c:pt>
                <c:pt idx="147">
                  <c:v>-17</c:v>
                </c:pt>
                <c:pt idx="148">
                  <c:v>-18.5</c:v>
                </c:pt>
                <c:pt idx="149">
                  <c:v>-18.75</c:v>
                </c:pt>
                <c:pt idx="150">
                  <c:v>-18.75</c:v>
                </c:pt>
                <c:pt idx="151">
                  <c:v>-14.75</c:v>
                </c:pt>
                <c:pt idx="152">
                  <c:v>6.5</c:v>
                </c:pt>
                <c:pt idx="153">
                  <c:v>7.5</c:v>
                </c:pt>
                <c:pt idx="154">
                  <c:v>4.25</c:v>
                </c:pt>
                <c:pt idx="155">
                  <c:v>3.25</c:v>
                </c:pt>
                <c:pt idx="156">
                  <c:v>2.75</c:v>
                </c:pt>
                <c:pt idx="157">
                  <c:v>-0.25</c:v>
                </c:pt>
                <c:pt idx="158">
                  <c:v>-1.5</c:v>
                </c:pt>
                <c:pt idx="159">
                  <c:v>-1.5</c:v>
                </c:pt>
                <c:pt idx="160">
                  <c:v>-4.25</c:v>
                </c:pt>
                <c:pt idx="161">
                  <c:v>-10</c:v>
                </c:pt>
                <c:pt idx="162">
                  <c:v>-10.75</c:v>
                </c:pt>
                <c:pt idx="163">
                  <c:v>-14.75</c:v>
                </c:pt>
                <c:pt idx="164">
                  <c:v>-16.25</c:v>
                </c:pt>
                <c:pt idx="165">
                  <c:v>-19.75</c:v>
                </c:pt>
                <c:pt idx="166">
                  <c:v>-19</c:v>
                </c:pt>
                <c:pt idx="167">
                  <c:v>-20.75</c:v>
                </c:pt>
                <c:pt idx="168">
                  <c:v>-17.25</c:v>
                </c:pt>
                <c:pt idx="169">
                  <c:v>-13</c:v>
                </c:pt>
                <c:pt idx="170">
                  <c:v>-1.25</c:v>
                </c:pt>
                <c:pt idx="171">
                  <c:v>7</c:v>
                </c:pt>
                <c:pt idx="172">
                  <c:v>4.5</c:v>
                </c:pt>
                <c:pt idx="173">
                  <c:v>7.75</c:v>
                </c:pt>
                <c:pt idx="174">
                  <c:v>6.5</c:v>
                </c:pt>
                <c:pt idx="175">
                  <c:v>6</c:v>
                </c:pt>
                <c:pt idx="176">
                  <c:v>1.25</c:v>
                </c:pt>
                <c:pt idx="177">
                  <c:v>-6</c:v>
                </c:pt>
                <c:pt idx="178">
                  <c:v>-9</c:v>
                </c:pt>
                <c:pt idx="179">
                  <c:v>-11.25</c:v>
                </c:pt>
                <c:pt idx="180">
                  <c:v>-14.75</c:v>
                </c:pt>
                <c:pt idx="181">
                  <c:v>-12.75</c:v>
                </c:pt>
              </c:numCache>
            </c:numRef>
          </c:val>
          <c:smooth val="0"/>
        </c:ser>
        <c:marker val="1"/>
        <c:axId val="66855904"/>
        <c:axId val="64832225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46619114"/>
        <c:axId val="16918843"/>
      </c:lineChart>
      <c:catAx>
        <c:axId val="66855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832225"/>
        <c:crossesAt val="-80"/>
        <c:auto val="0"/>
        <c:lblOffset val="100"/>
        <c:tickLblSkip val="4"/>
        <c:tickMarkSkip val="4"/>
        <c:noMultiLvlLbl val="0"/>
      </c:catAx>
      <c:valAx>
        <c:axId val="6483222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855904"/>
        <c:crossesAt val="1"/>
        <c:crossBetween val="midCat"/>
        <c:dispUnits/>
      </c:valAx>
      <c:catAx>
        <c:axId val="46619114"/>
        <c:scaling>
          <c:orientation val="minMax"/>
        </c:scaling>
        <c:axPos val="b"/>
        <c:delete val="1"/>
        <c:majorTickMark val="in"/>
        <c:minorTickMark val="none"/>
        <c:tickLblPos val="nextTo"/>
        <c:crossAx val="16918843"/>
        <c:crosses val="autoZero"/>
        <c:auto val="0"/>
        <c:lblOffset val="100"/>
        <c:noMultiLvlLbl val="0"/>
      </c:catAx>
      <c:valAx>
        <c:axId val="1691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1911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4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A!$K$3:$K$184</c:f>
              <c:numCache>
                <c:ptCount val="182"/>
                <c:pt idx="0">
                  <c:v>-44.64</c:v>
                </c:pt>
                <c:pt idx="1">
                  <c:v>-14.5</c:v>
                </c:pt>
                <c:pt idx="2">
                  <c:v>-15</c:v>
                </c:pt>
                <c:pt idx="3">
                  <c:v>-14.75</c:v>
                </c:pt>
                <c:pt idx="4">
                  <c:v>-15.5</c:v>
                </c:pt>
                <c:pt idx="5">
                  <c:v>-15.25</c:v>
                </c:pt>
                <c:pt idx="6">
                  <c:v>-16.25</c:v>
                </c:pt>
                <c:pt idx="7">
                  <c:v>-15.5</c:v>
                </c:pt>
                <c:pt idx="8">
                  <c:v>-16</c:v>
                </c:pt>
                <c:pt idx="9">
                  <c:v>-16.5</c:v>
                </c:pt>
                <c:pt idx="10">
                  <c:v>-11</c:v>
                </c:pt>
                <c:pt idx="11">
                  <c:v>-12.75</c:v>
                </c:pt>
                <c:pt idx="12">
                  <c:v>-14</c:v>
                </c:pt>
                <c:pt idx="13">
                  <c:v>-14</c:v>
                </c:pt>
                <c:pt idx="14">
                  <c:v>-15.5</c:v>
                </c:pt>
                <c:pt idx="15">
                  <c:v>-15.5</c:v>
                </c:pt>
                <c:pt idx="16">
                  <c:v>-16</c:v>
                </c:pt>
                <c:pt idx="17">
                  <c:v>-15.75</c:v>
                </c:pt>
                <c:pt idx="18">
                  <c:v>-15.75</c:v>
                </c:pt>
                <c:pt idx="19">
                  <c:v>-16</c:v>
                </c:pt>
                <c:pt idx="20">
                  <c:v>-15.5</c:v>
                </c:pt>
                <c:pt idx="21">
                  <c:v>-15.75</c:v>
                </c:pt>
                <c:pt idx="22">
                  <c:v>-16.5</c:v>
                </c:pt>
                <c:pt idx="23">
                  <c:v>-18</c:v>
                </c:pt>
                <c:pt idx="24">
                  <c:v>-18.25</c:v>
                </c:pt>
                <c:pt idx="25">
                  <c:v>-18.5</c:v>
                </c:pt>
                <c:pt idx="26">
                  <c:v>-19</c:v>
                </c:pt>
                <c:pt idx="27">
                  <c:v>-19</c:v>
                </c:pt>
                <c:pt idx="28">
                  <c:v>-18.75</c:v>
                </c:pt>
                <c:pt idx="29">
                  <c:v>-15</c:v>
                </c:pt>
                <c:pt idx="30">
                  <c:v>-11.75</c:v>
                </c:pt>
                <c:pt idx="31">
                  <c:v>-12</c:v>
                </c:pt>
                <c:pt idx="32">
                  <c:v>-13.5</c:v>
                </c:pt>
                <c:pt idx="33">
                  <c:v>-14.75</c:v>
                </c:pt>
                <c:pt idx="34">
                  <c:v>-14.25</c:v>
                </c:pt>
                <c:pt idx="35">
                  <c:v>-13.5</c:v>
                </c:pt>
                <c:pt idx="36">
                  <c:v>-16</c:v>
                </c:pt>
                <c:pt idx="37">
                  <c:v>-16.75</c:v>
                </c:pt>
                <c:pt idx="38">
                  <c:v>-17.25</c:v>
                </c:pt>
                <c:pt idx="39">
                  <c:v>-17.5</c:v>
                </c:pt>
                <c:pt idx="40">
                  <c:v>-18</c:v>
                </c:pt>
                <c:pt idx="41">
                  <c:v>-18</c:v>
                </c:pt>
                <c:pt idx="42">
                  <c:v>-18.75</c:v>
                </c:pt>
                <c:pt idx="43">
                  <c:v>-12.5</c:v>
                </c:pt>
                <c:pt idx="44">
                  <c:v>-7.25</c:v>
                </c:pt>
                <c:pt idx="45">
                  <c:v>-4.75</c:v>
                </c:pt>
                <c:pt idx="46">
                  <c:v>-16</c:v>
                </c:pt>
                <c:pt idx="47">
                  <c:v>-22.5</c:v>
                </c:pt>
                <c:pt idx="48">
                  <c:v>-25.25</c:v>
                </c:pt>
                <c:pt idx="49">
                  <c:v>-26.25</c:v>
                </c:pt>
                <c:pt idx="50">
                  <c:v>-26.75</c:v>
                </c:pt>
                <c:pt idx="51">
                  <c:v>-23.625</c:v>
                </c:pt>
                <c:pt idx="52">
                  <c:v>-23.5</c:v>
                </c:pt>
                <c:pt idx="53">
                  <c:v>-22.25</c:v>
                </c:pt>
                <c:pt idx="54">
                  <c:v>-21.75</c:v>
                </c:pt>
                <c:pt idx="55">
                  <c:v>-22.25</c:v>
                </c:pt>
                <c:pt idx="56">
                  <c:v>-20.75</c:v>
                </c:pt>
                <c:pt idx="57">
                  <c:v>-18.5</c:v>
                </c:pt>
                <c:pt idx="58">
                  <c:v>-16.5</c:v>
                </c:pt>
                <c:pt idx="59">
                  <c:v>-16</c:v>
                </c:pt>
                <c:pt idx="60">
                  <c:v>-15.5</c:v>
                </c:pt>
                <c:pt idx="61">
                  <c:v>-14.5</c:v>
                </c:pt>
                <c:pt idx="62">
                  <c:v>-13.5</c:v>
                </c:pt>
                <c:pt idx="63">
                  <c:v>-13.5</c:v>
                </c:pt>
                <c:pt idx="64">
                  <c:v>-15</c:v>
                </c:pt>
                <c:pt idx="65">
                  <c:v>-17</c:v>
                </c:pt>
                <c:pt idx="66">
                  <c:v>-19.25</c:v>
                </c:pt>
                <c:pt idx="67">
                  <c:v>-20.25</c:v>
                </c:pt>
                <c:pt idx="68">
                  <c:v>-22.25</c:v>
                </c:pt>
                <c:pt idx="69">
                  <c:v>-23</c:v>
                </c:pt>
                <c:pt idx="70">
                  <c:v>-24.25</c:v>
                </c:pt>
                <c:pt idx="71">
                  <c:v>-24</c:v>
                </c:pt>
                <c:pt idx="72">
                  <c:v>-25.25</c:v>
                </c:pt>
                <c:pt idx="73">
                  <c:v>-26.25</c:v>
                </c:pt>
                <c:pt idx="74">
                  <c:v>-26.75</c:v>
                </c:pt>
                <c:pt idx="75">
                  <c:v>-26</c:v>
                </c:pt>
                <c:pt idx="76">
                  <c:v>-24.5</c:v>
                </c:pt>
                <c:pt idx="77">
                  <c:v>-23</c:v>
                </c:pt>
                <c:pt idx="78">
                  <c:v>-22.5</c:v>
                </c:pt>
                <c:pt idx="79">
                  <c:v>-21.5</c:v>
                </c:pt>
                <c:pt idx="80">
                  <c:v>-21</c:v>
                </c:pt>
                <c:pt idx="81">
                  <c:v>-13.75</c:v>
                </c:pt>
                <c:pt idx="82">
                  <c:v>-14</c:v>
                </c:pt>
                <c:pt idx="83">
                  <c:v>-15.75</c:v>
                </c:pt>
                <c:pt idx="84">
                  <c:v>-16.75</c:v>
                </c:pt>
                <c:pt idx="85">
                  <c:v>-17.25</c:v>
                </c:pt>
                <c:pt idx="86">
                  <c:v>-21.5</c:v>
                </c:pt>
                <c:pt idx="87">
                  <c:v>-22.25</c:v>
                </c:pt>
                <c:pt idx="88">
                  <c:v>-23</c:v>
                </c:pt>
                <c:pt idx="89">
                  <c:v>-23.75</c:v>
                </c:pt>
                <c:pt idx="90">
                  <c:v>-24.25</c:v>
                </c:pt>
                <c:pt idx="91">
                  <c:v>-24.75</c:v>
                </c:pt>
                <c:pt idx="92">
                  <c:v>-25.25</c:v>
                </c:pt>
                <c:pt idx="93">
                  <c:v>-25.75</c:v>
                </c:pt>
                <c:pt idx="94">
                  <c:v>-20.75</c:v>
                </c:pt>
                <c:pt idx="95">
                  <c:v>-17.75</c:v>
                </c:pt>
                <c:pt idx="96">
                  <c:v>-25</c:v>
                </c:pt>
                <c:pt idx="97">
                  <c:v>-25</c:v>
                </c:pt>
                <c:pt idx="98">
                  <c:v>-26</c:v>
                </c:pt>
                <c:pt idx="99">
                  <c:v>-26.5</c:v>
                </c:pt>
                <c:pt idx="100">
                  <c:v>-26.5</c:v>
                </c:pt>
                <c:pt idx="101">
                  <c:v>-27.75</c:v>
                </c:pt>
                <c:pt idx="102">
                  <c:v>-28</c:v>
                </c:pt>
                <c:pt idx="103">
                  <c:v>-27.75</c:v>
                </c:pt>
                <c:pt idx="104">
                  <c:v>-28.5</c:v>
                </c:pt>
                <c:pt idx="105">
                  <c:v>-28.5</c:v>
                </c:pt>
                <c:pt idx="106">
                  <c:v>-29.25</c:v>
                </c:pt>
                <c:pt idx="107">
                  <c:v>-30.25</c:v>
                </c:pt>
                <c:pt idx="108">
                  <c:v>-33.25</c:v>
                </c:pt>
                <c:pt idx="109">
                  <c:v>-29.25</c:v>
                </c:pt>
                <c:pt idx="110">
                  <c:v>-29.5</c:v>
                </c:pt>
                <c:pt idx="111">
                  <c:v>-27</c:v>
                </c:pt>
                <c:pt idx="112">
                  <c:v>-27.75</c:v>
                </c:pt>
                <c:pt idx="113">
                  <c:v>-19.25</c:v>
                </c:pt>
                <c:pt idx="114">
                  <c:v>-24.75</c:v>
                </c:pt>
                <c:pt idx="115">
                  <c:v>-26.25</c:v>
                </c:pt>
                <c:pt idx="116">
                  <c:v>-27</c:v>
                </c:pt>
                <c:pt idx="117">
                  <c:v>-28.5</c:v>
                </c:pt>
                <c:pt idx="118">
                  <c:v>-29.75</c:v>
                </c:pt>
                <c:pt idx="119">
                  <c:v>-30</c:v>
                </c:pt>
                <c:pt idx="120">
                  <c:v>-29.25</c:v>
                </c:pt>
                <c:pt idx="121">
                  <c:v>-34.25</c:v>
                </c:pt>
                <c:pt idx="122">
                  <c:v>-34</c:v>
                </c:pt>
                <c:pt idx="123">
                  <c:v>-19.5</c:v>
                </c:pt>
                <c:pt idx="124">
                  <c:v>-17.75</c:v>
                </c:pt>
                <c:pt idx="126">
                  <c:v>-14</c:v>
                </c:pt>
                <c:pt idx="127">
                  <c:v>-27</c:v>
                </c:pt>
                <c:pt idx="128">
                  <c:v>-29.75</c:v>
                </c:pt>
                <c:pt idx="129">
                  <c:v>-30</c:v>
                </c:pt>
                <c:pt idx="130">
                  <c:v>-33</c:v>
                </c:pt>
                <c:pt idx="131">
                  <c:v>-33</c:v>
                </c:pt>
                <c:pt idx="132">
                  <c:v>-33.5</c:v>
                </c:pt>
                <c:pt idx="133">
                  <c:v>-34</c:v>
                </c:pt>
                <c:pt idx="134">
                  <c:v>-33.25</c:v>
                </c:pt>
                <c:pt idx="135">
                  <c:v>-36.75</c:v>
                </c:pt>
                <c:pt idx="136">
                  <c:v>-36.58</c:v>
                </c:pt>
                <c:pt idx="137">
                  <c:v>-34.42</c:v>
                </c:pt>
                <c:pt idx="138">
                  <c:v>-34.75</c:v>
                </c:pt>
                <c:pt idx="139">
                  <c:v>-33.75</c:v>
                </c:pt>
                <c:pt idx="140">
                  <c:v>-34</c:v>
                </c:pt>
                <c:pt idx="141">
                  <c:v>-34.25</c:v>
                </c:pt>
                <c:pt idx="142">
                  <c:v>-33</c:v>
                </c:pt>
                <c:pt idx="143">
                  <c:v>-32.75</c:v>
                </c:pt>
                <c:pt idx="144">
                  <c:v>-31.5</c:v>
                </c:pt>
                <c:pt idx="145">
                  <c:v>-33</c:v>
                </c:pt>
                <c:pt idx="146">
                  <c:v>-33.5</c:v>
                </c:pt>
                <c:pt idx="147">
                  <c:v>-35.25</c:v>
                </c:pt>
                <c:pt idx="148">
                  <c:v>-34.5</c:v>
                </c:pt>
                <c:pt idx="149">
                  <c:v>-35</c:v>
                </c:pt>
                <c:pt idx="150">
                  <c:v>-34.5</c:v>
                </c:pt>
                <c:pt idx="151">
                  <c:v>-31</c:v>
                </c:pt>
                <c:pt idx="152">
                  <c:v>-10</c:v>
                </c:pt>
                <c:pt idx="153">
                  <c:v>-12.25</c:v>
                </c:pt>
                <c:pt idx="154">
                  <c:v>-11</c:v>
                </c:pt>
                <c:pt idx="155">
                  <c:v>-12</c:v>
                </c:pt>
                <c:pt idx="156">
                  <c:v>-12.25</c:v>
                </c:pt>
                <c:pt idx="157">
                  <c:v>-14</c:v>
                </c:pt>
                <c:pt idx="158">
                  <c:v>-15.5</c:v>
                </c:pt>
                <c:pt idx="159">
                  <c:v>-16.25</c:v>
                </c:pt>
                <c:pt idx="160">
                  <c:v>-17.75</c:v>
                </c:pt>
                <c:pt idx="161">
                  <c:v>-21</c:v>
                </c:pt>
                <c:pt idx="162">
                  <c:v>-23.5</c:v>
                </c:pt>
                <c:pt idx="163">
                  <c:v>-27.5</c:v>
                </c:pt>
                <c:pt idx="164">
                  <c:v>-29.75</c:v>
                </c:pt>
                <c:pt idx="165">
                  <c:v>-32.75</c:v>
                </c:pt>
                <c:pt idx="166">
                  <c:v>-32.25</c:v>
                </c:pt>
                <c:pt idx="167">
                  <c:v>-36.5</c:v>
                </c:pt>
                <c:pt idx="168">
                  <c:v>-30.5</c:v>
                </c:pt>
                <c:pt idx="169">
                  <c:v>-27.75</c:v>
                </c:pt>
                <c:pt idx="170">
                  <c:v>-16</c:v>
                </c:pt>
                <c:pt idx="171">
                  <c:v>-9.25</c:v>
                </c:pt>
                <c:pt idx="172">
                  <c:v>-9.5</c:v>
                </c:pt>
                <c:pt idx="173">
                  <c:v>-7.75</c:v>
                </c:pt>
                <c:pt idx="174">
                  <c:v>-8.25</c:v>
                </c:pt>
                <c:pt idx="175">
                  <c:v>-8.5</c:v>
                </c:pt>
                <c:pt idx="176">
                  <c:v>-11.75</c:v>
                </c:pt>
                <c:pt idx="177">
                  <c:v>-18.5</c:v>
                </c:pt>
                <c:pt idx="178">
                  <c:v>-21</c:v>
                </c:pt>
                <c:pt idx="179">
                  <c:v>-25</c:v>
                </c:pt>
                <c:pt idx="180">
                  <c:v>-26.25</c:v>
                </c:pt>
                <c:pt idx="181">
                  <c:v>-26.25</c:v>
                </c:pt>
              </c:numCache>
            </c:numRef>
          </c:val>
          <c:smooth val="0"/>
        </c:ser>
        <c:marker val="1"/>
        <c:axId val="18051860"/>
        <c:axId val="28249013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52914526"/>
        <c:axId val="6468687"/>
      </c:lineChart>
      <c:catAx>
        <c:axId val="180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249013"/>
        <c:crossesAt val="-80"/>
        <c:auto val="0"/>
        <c:lblOffset val="100"/>
        <c:tickLblSkip val="4"/>
        <c:tickMarkSkip val="4"/>
        <c:noMultiLvlLbl val="0"/>
      </c:catAx>
      <c:valAx>
        <c:axId val="28249013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051860"/>
        <c:crossesAt val="1"/>
        <c:crossBetween val="midCat"/>
        <c:dispUnits/>
      </c:valAx>
      <c:catAx>
        <c:axId val="52914526"/>
        <c:scaling>
          <c:orientation val="minMax"/>
        </c:scaling>
        <c:axPos val="b"/>
        <c:delete val="1"/>
        <c:majorTickMark val="in"/>
        <c:minorTickMark val="none"/>
        <c:tickLblPos val="nextTo"/>
        <c:crossAx val="6468687"/>
        <c:crosses val="autoZero"/>
        <c:auto val="0"/>
        <c:lblOffset val="100"/>
        <c:noMultiLvlLbl val="0"/>
      </c:catAx>
      <c:valAx>
        <c:axId val="6468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145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A!$M$3:$M$184</c:f>
              <c:numCache>
                <c:ptCount val="182"/>
                <c:pt idx="0">
                  <c:v>-67.92</c:v>
                </c:pt>
                <c:pt idx="1">
                  <c:v>-54</c:v>
                </c:pt>
                <c:pt idx="2">
                  <c:v>-56.25</c:v>
                </c:pt>
                <c:pt idx="3">
                  <c:v>-56</c:v>
                </c:pt>
                <c:pt idx="4">
                  <c:v>-56</c:v>
                </c:pt>
                <c:pt idx="5">
                  <c:v>-56.25</c:v>
                </c:pt>
                <c:pt idx="6">
                  <c:v>-56.5</c:v>
                </c:pt>
                <c:pt idx="7">
                  <c:v>-56</c:v>
                </c:pt>
                <c:pt idx="8">
                  <c:v>-56.75</c:v>
                </c:pt>
                <c:pt idx="9">
                  <c:v>-56.5</c:v>
                </c:pt>
                <c:pt idx="10">
                  <c:v>-52</c:v>
                </c:pt>
                <c:pt idx="11">
                  <c:v>-53.75</c:v>
                </c:pt>
                <c:pt idx="12">
                  <c:v>-54.25</c:v>
                </c:pt>
                <c:pt idx="13">
                  <c:v>-54.25</c:v>
                </c:pt>
                <c:pt idx="14">
                  <c:v>-55.75</c:v>
                </c:pt>
                <c:pt idx="15">
                  <c:v>-56</c:v>
                </c:pt>
                <c:pt idx="16">
                  <c:v>-56.5</c:v>
                </c:pt>
                <c:pt idx="17">
                  <c:v>-56.75</c:v>
                </c:pt>
                <c:pt idx="18">
                  <c:v>-57</c:v>
                </c:pt>
                <c:pt idx="19">
                  <c:v>-58</c:v>
                </c:pt>
                <c:pt idx="20">
                  <c:v>-56.5</c:v>
                </c:pt>
                <c:pt idx="21">
                  <c:v>-57.25</c:v>
                </c:pt>
                <c:pt idx="22">
                  <c:v>-57.75</c:v>
                </c:pt>
                <c:pt idx="23">
                  <c:v>-58.75</c:v>
                </c:pt>
                <c:pt idx="24">
                  <c:v>-58</c:v>
                </c:pt>
                <c:pt idx="25">
                  <c:v>-60.25</c:v>
                </c:pt>
                <c:pt idx="26">
                  <c:v>-60.5</c:v>
                </c:pt>
                <c:pt idx="27">
                  <c:v>-61</c:v>
                </c:pt>
                <c:pt idx="28">
                  <c:v>-59.25</c:v>
                </c:pt>
                <c:pt idx="29">
                  <c:v>-55.5</c:v>
                </c:pt>
                <c:pt idx="30">
                  <c:v>-53.25</c:v>
                </c:pt>
                <c:pt idx="31">
                  <c:v>-53.25</c:v>
                </c:pt>
                <c:pt idx="32">
                  <c:v>-56</c:v>
                </c:pt>
                <c:pt idx="33">
                  <c:v>-57.25</c:v>
                </c:pt>
                <c:pt idx="34">
                  <c:v>-56.5</c:v>
                </c:pt>
                <c:pt idx="35">
                  <c:v>-55</c:v>
                </c:pt>
                <c:pt idx="36">
                  <c:v>-59.5</c:v>
                </c:pt>
                <c:pt idx="37">
                  <c:v>-60.25</c:v>
                </c:pt>
                <c:pt idx="38">
                  <c:v>-60.25</c:v>
                </c:pt>
                <c:pt idx="39">
                  <c:v>-60.5</c:v>
                </c:pt>
                <c:pt idx="40">
                  <c:v>-61.5</c:v>
                </c:pt>
                <c:pt idx="41">
                  <c:v>-61.25</c:v>
                </c:pt>
                <c:pt idx="42">
                  <c:v>-62</c:v>
                </c:pt>
                <c:pt idx="43">
                  <c:v>-51.25</c:v>
                </c:pt>
                <c:pt idx="44">
                  <c:v>-47.5</c:v>
                </c:pt>
                <c:pt idx="45">
                  <c:v>-42</c:v>
                </c:pt>
                <c:pt idx="46">
                  <c:v>-57</c:v>
                </c:pt>
                <c:pt idx="47">
                  <c:v>-61.75</c:v>
                </c:pt>
                <c:pt idx="48">
                  <c:v>-63.25</c:v>
                </c:pt>
                <c:pt idx="49">
                  <c:v>-64</c:v>
                </c:pt>
                <c:pt idx="50">
                  <c:v>-63.625</c:v>
                </c:pt>
                <c:pt idx="51">
                  <c:v>-60.75</c:v>
                </c:pt>
                <c:pt idx="52">
                  <c:v>-60.625</c:v>
                </c:pt>
                <c:pt idx="53">
                  <c:v>-59.625</c:v>
                </c:pt>
                <c:pt idx="54">
                  <c:v>-59.25</c:v>
                </c:pt>
                <c:pt idx="55">
                  <c:v>-59.75</c:v>
                </c:pt>
                <c:pt idx="56">
                  <c:v>-56.75</c:v>
                </c:pt>
                <c:pt idx="57">
                  <c:v>-55</c:v>
                </c:pt>
                <c:pt idx="58">
                  <c:v>-54</c:v>
                </c:pt>
                <c:pt idx="59">
                  <c:v>-54</c:v>
                </c:pt>
                <c:pt idx="60">
                  <c:v>-53.75</c:v>
                </c:pt>
                <c:pt idx="61">
                  <c:v>-52.5</c:v>
                </c:pt>
                <c:pt idx="62">
                  <c:v>-52.25</c:v>
                </c:pt>
                <c:pt idx="63">
                  <c:v>-52.5</c:v>
                </c:pt>
                <c:pt idx="64">
                  <c:v>-56.5</c:v>
                </c:pt>
                <c:pt idx="65">
                  <c:v>-60</c:v>
                </c:pt>
                <c:pt idx="66">
                  <c:v>-61.25</c:v>
                </c:pt>
                <c:pt idx="67">
                  <c:v>-61</c:v>
                </c:pt>
                <c:pt idx="68">
                  <c:v>-61</c:v>
                </c:pt>
                <c:pt idx="69">
                  <c:v>-63</c:v>
                </c:pt>
                <c:pt idx="70">
                  <c:v>-63.75</c:v>
                </c:pt>
                <c:pt idx="71">
                  <c:v>-63</c:v>
                </c:pt>
                <c:pt idx="72">
                  <c:v>-65</c:v>
                </c:pt>
                <c:pt idx="73">
                  <c:v>-64</c:v>
                </c:pt>
                <c:pt idx="74">
                  <c:v>-64.5</c:v>
                </c:pt>
                <c:pt idx="75">
                  <c:v>-63.5</c:v>
                </c:pt>
                <c:pt idx="76">
                  <c:v>-62.25</c:v>
                </c:pt>
                <c:pt idx="77">
                  <c:v>-61.5</c:v>
                </c:pt>
                <c:pt idx="78">
                  <c:v>-61</c:v>
                </c:pt>
                <c:pt idx="79">
                  <c:v>-60.75</c:v>
                </c:pt>
                <c:pt idx="80">
                  <c:v>-59.25</c:v>
                </c:pt>
                <c:pt idx="81">
                  <c:v>-52.25</c:v>
                </c:pt>
                <c:pt idx="82">
                  <c:v>-55</c:v>
                </c:pt>
                <c:pt idx="83">
                  <c:v>-57</c:v>
                </c:pt>
                <c:pt idx="84">
                  <c:v>-57.5</c:v>
                </c:pt>
                <c:pt idx="85">
                  <c:v>-58.25</c:v>
                </c:pt>
                <c:pt idx="86">
                  <c:v>-63.75</c:v>
                </c:pt>
                <c:pt idx="87">
                  <c:v>-63.5</c:v>
                </c:pt>
                <c:pt idx="88">
                  <c:v>-64.25</c:v>
                </c:pt>
                <c:pt idx="89">
                  <c:v>-65</c:v>
                </c:pt>
                <c:pt idx="90">
                  <c:v>-64.75</c:v>
                </c:pt>
                <c:pt idx="91">
                  <c:v>-65</c:v>
                </c:pt>
                <c:pt idx="92">
                  <c:v>-65.5</c:v>
                </c:pt>
                <c:pt idx="93">
                  <c:v>-62.25</c:v>
                </c:pt>
                <c:pt idx="94">
                  <c:v>-58</c:v>
                </c:pt>
                <c:pt idx="95">
                  <c:v>-55.75</c:v>
                </c:pt>
                <c:pt idx="96">
                  <c:v>-63.25</c:v>
                </c:pt>
                <c:pt idx="97">
                  <c:v>-64.5</c:v>
                </c:pt>
                <c:pt idx="98">
                  <c:v>-65.75</c:v>
                </c:pt>
                <c:pt idx="99">
                  <c:v>-65.75</c:v>
                </c:pt>
                <c:pt idx="100">
                  <c:v>-65.5</c:v>
                </c:pt>
                <c:pt idx="101">
                  <c:v>-66.5</c:v>
                </c:pt>
                <c:pt idx="102">
                  <c:v>-66.5</c:v>
                </c:pt>
                <c:pt idx="103">
                  <c:v>-66.5</c:v>
                </c:pt>
                <c:pt idx="104">
                  <c:v>-67.5</c:v>
                </c:pt>
                <c:pt idx="105">
                  <c:v>-67.5</c:v>
                </c:pt>
                <c:pt idx="106">
                  <c:v>-67.5</c:v>
                </c:pt>
                <c:pt idx="107">
                  <c:v>-68</c:v>
                </c:pt>
                <c:pt idx="108">
                  <c:v>-68</c:v>
                </c:pt>
                <c:pt idx="109">
                  <c:v>-67.25</c:v>
                </c:pt>
                <c:pt idx="110">
                  <c:v>-66.25</c:v>
                </c:pt>
                <c:pt idx="111">
                  <c:v>-65</c:v>
                </c:pt>
                <c:pt idx="112">
                  <c:v>-66.25</c:v>
                </c:pt>
                <c:pt idx="113">
                  <c:v>-56.25</c:v>
                </c:pt>
                <c:pt idx="114">
                  <c:v>-64</c:v>
                </c:pt>
                <c:pt idx="115">
                  <c:v>-65</c:v>
                </c:pt>
                <c:pt idx="116">
                  <c:v>-66</c:v>
                </c:pt>
                <c:pt idx="117">
                  <c:v>-66.25</c:v>
                </c:pt>
                <c:pt idx="119">
                  <c:v>-68</c:v>
                </c:pt>
                <c:pt idx="120">
                  <c:v>-67</c:v>
                </c:pt>
                <c:pt idx="123">
                  <c:v>-54.25</c:v>
                </c:pt>
                <c:pt idx="124">
                  <c:v>-53.25</c:v>
                </c:pt>
                <c:pt idx="125">
                  <c:v>-51.25</c:v>
                </c:pt>
                <c:pt idx="126">
                  <c:v>-51.5</c:v>
                </c:pt>
                <c:pt idx="127">
                  <c:v>-64.75</c:v>
                </c:pt>
                <c:pt idx="128">
                  <c:v>-66.25</c:v>
                </c:pt>
                <c:pt idx="129">
                  <c:v>-65.75</c:v>
                </c:pt>
                <c:pt idx="130">
                  <c:v>-68.5</c:v>
                </c:pt>
                <c:pt idx="131">
                  <c:v>-68.5</c:v>
                </c:pt>
                <c:pt idx="133">
                  <c:v>-68.5</c:v>
                </c:pt>
                <c:pt idx="136">
                  <c:v>-68.53999999999999</c:v>
                </c:pt>
                <c:pt idx="137">
                  <c:v>-65.78</c:v>
                </c:pt>
                <c:pt idx="138">
                  <c:v>-66.75</c:v>
                </c:pt>
                <c:pt idx="139">
                  <c:v>-67.5</c:v>
                </c:pt>
                <c:pt idx="140">
                  <c:v>-67.5</c:v>
                </c:pt>
                <c:pt idx="142">
                  <c:v>-66.25</c:v>
                </c:pt>
                <c:pt idx="143">
                  <c:v>-66.5</c:v>
                </c:pt>
                <c:pt idx="144">
                  <c:v>-61</c:v>
                </c:pt>
                <c:pt idx="145">
                  <c:v>-66</c:v>
                </c:pt>
                <c:pt idx="146">
                  <c:v>-67.75</c:v>
                </c:pt>
                <c:pt idx="147">
                  <c:v>-67</c:v>
                </c:pt>
                <c:pt idx="148">
                  <c:v>-68.25</c:v>
                </c:pt>
                <c:pt idx="151">
                  <c:v>-60</c:v>
                </c:pt>
                <c:pt idx="152">
                  <c:v>-43.75</c:v>
                </c:pt>
                <c:pt idx="153">
                  <c:v>-43</c:v>
                </c:pt>
                <c:pt idx="154">
                  <c:v>-46</c:v>
                </c:pt>
                <c:pt idx="155">
                  <c:v>-46.25</c:v>
                </c:pt>
                <c:pt idx="156">
                  <c:v>-46.5</c:v>
                </c:pt>
                <c:pt idx="157">
                  <c:v>-48</c:v>
                </c:pt>
                <c:pt idx="158">
                  <c:v>-48.5</c:v>
                </c:pt>
                <c:pt idx="159">
                  <c:v>-48.25</c:v>
                </c:pt>
                <c:pt idx="160">
                  <c:v>-50</c:v>
                </c:pt>
                <c:pt idx="161">
                  <c:v>-54.25</c:v>
                </c:pt>
                <c:pt idx="162">
                  <c:v>-54.75</c:v>
                </c:pt>
                <c:pt idx="163">
                  <c:v>-57.5</c:v>
                </c:pt>
                <c:pt idx="164">
                  <c:v>-58.5</c:v>
                </c:pt>
                <c:pt idx="165">
                  <c:v>-61.25</c:v>
                </c:pt>
                <c:pt idx="166">
                  <c:v>-61.5</c:v>
                </c:pt>
                <c:pt idx="167">
                  <c:v>-61.25</c:v>
                </c:pt>
                <c:pt idx="168">
                  <c:v>-58.25</c:v>
                </c:pt>
                <c:pt idx="169">
                  <c:v>-55.5</c:v>
                </c:pt>
                <c:pt idx="170">
                  <c:v>-46.5</c:v>
                </c:pt>
                <c:pt idx="171">
                  <c:v>-38.75</c:v>
                </c:pt>
                <c:pt idx="172">
                  <c:v>-40.25</c:v>
                </c:pt>
                <c:pt idx="173">
                  <c:v>-38.75</c:v>
                </c:pt>
                <c:pt idx="174">
                  <c:v>-39.5</c:v>
                </c:pt>
                <c:pt idx="175">
                  <c:v>-40.5</c:v>
                </c:pt>
                <c:pt idx="176">
                  <c:v>-44.25</c:v>
                </c:pt>
                <c:pt idx="177">
                  <c:v>-50.75</c:v>
                </c:pt>
                <c:pt idx="178">
                  <c:v>-53.5</c:v>
                </c:pt>
                <c:pt idx="179">
                  <c:v>-54.75</c:v>
                </c:pt>
                <c:pt idx="180">
                  <c:v>-59</c:v>
                </c:pt>
                <c:pt idx="181">
                  <c:v>-55</c:v>
                </c:pt>
              </c:numCache>
            </c:numRef>
          </c:val>
          <c:smooth val="0"/>
        </c:ser>
        <c:marker val="1"/>
        <c:axId val="58218184"/>
        <c:axId val="54201609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18052434"/>
        <c:axId val="28254179"/>
      </c:lineChart>
      <c:cat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201609"/>
        <c:crossesAt val="-80"/>
        <c:auto val="0"/>
        <c:lblOffset val="100"/>
        <c:tickLblSkip val="4"/>
        <c:tickMarkSkip val="4"/>
        <c:noMultiLvlLbl val="0"/>
      </c:catAx>
      <c:valAx>
        <c:axId val="5420160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218184"/>
        <c:crossesAt val="1"/>
        <c:crossBetween val="midCat"/>
        <c:dispUnits/>
      </c:valAx>
      <c:catAx>
        <c:axId val="18052434"/>
        <c:scaling>
          <c:orientation val="minMax"/>
        </c:scaling>
        <c:axPos val="b"/>
        <c:delete val="1"/>
        <c:majorTickMark val="in"/>
        <c:minorTickMark val="none"/>
        <c:tickLblPos val="nextTo"/>
        <c:crossAx val="28254179"/>
        <c:crosses val="autoZero"/>
        <c:auto val="0"/>
        <c:lblOffset val="100"/>
        <c:noMultiLvlLbl val="0"/>
      </c:catAx>
      <c:valAx>
        <c:axId val="2825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524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A!$C$13:$C$28</c:f>
              <c:numCache>
                <c:ptCount val="16"/>
                <c:pt idx="0">
                  <c:v>-56.75</c:v>
                </c:pt>
                <c:pt idx="1">
                  <c:v>-59</c:v>
                </c:pt>
                <c:pt idx="2">
                  <c:v>-59.5</c:v>
                </c:pt>
                <c:pt idx="3">
                  <c:v>-59.25</c:v>
                </c:pt>
                <c:pt idx="4">
                  <c:v>-61</c:v>
                </c:pt>
                <c:pt idx="5">
                  <c:v>-61</c:v>
                </c:pt>
                <c:pt idx="6">
                  <c:v>-61.5</c:v>
                </c:pt>
                <c:pt idx="7">
                  <c:v>-62</c:v>
                </c:pt>
                <c:pt idx="8">
                  <c:v>-61.25</c:v>
                </c:pt>
                <c:pt idx="9">
                  <c:v>-62</c:v>
                </c:pt>
                <c:pt idx="10">
                  <c:v>-61.5</c:v>
                </c:pt>
                <c:pt idx="11">
                  <c:v>-61.75</c:v>
                </c:pt>
                <c:pt idx="12">
                  <c:v>-63.25</c:v>
                </c:pt>
                <c:pt idx="13">
                  <c:v>-64.25</c:v>
                </c:pt>
                <c:pt idx="14">
                  <c:v>-65.25</c:v>
                </c:pt>
                <c:pt idx="15">
                  <c:v>-64.75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A!$E$13:$E$28</c:f>
              <c:numCache>
                <c:ptCount val="16"/>
                <c:pt idx="0">
                  <c:v>-46.25</c:v>
                </c:pt>
                <c:pt idx="1">
                  <c:v>-48</c:v>
                </c:pt>
                <c:pt idx="2">
                  <c:v>-48.5</c:v>
                </c:pt>
                <c:pt idx="3">
                  <c:v>-48.5</c:v>
                </c:pt>
                <c:pt idx="4">
                  <c:v>-50.25</c:v>
                </c:pt>
                <c:pt idx="5">
                  <c:v>-50.25</c:v>
                </c:pt>
                <c:pt idx="6">
                  <c:v>-51</c:v>
                </c:pt>
                <c:pt idx="7">
                  <c:v>-50.5</c:v>
                </c:pt>
                <c:pt idx="8">
                  <c:v>-50.25</c:v>
                </c:pt>
                <c:pt idx="9">
                  <c:v>-51.75</c:v>
                </c:pt>
                <c:pt idx="10">
                  <c:v>-50.75</c:v>
                </c:pt>
                <c:pt idx="11">
                  <c:v>-51.5</c:v>
                </c:pt>
                <c:pt idx="12">
                  <c:v>-52.5</c:v>
                </c:pt>
                <c:pt idx="13">
                  <c:v>-53.25</c:v>
                </c:pt>
                <c:pt idx="14">
                  <c:v>-54.5</c:v>
                </c:pt>
                <c:pt idx="15">
                  <c:v>-54.75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A!$G$13:$G$28</c:f>
              <c:numCache>
                <c:ptCount val="16"/>
                <c:pt idx="0">
                  <c:v>-37.25</c:v>
                </c:pt>
                <c:pt idx="1">
                  <c:v>-40.5</c:v>
                </c:pt>
                <c:pt idx="2">
                  <c:v>-41</c:v>
                </c:pt>
                <c:pt idx="3">
                  <c:v>-40.75</c:v>
                </c:pt>
                <c:pt idx="4">
                  <c:v>-42.75</c:v>
                </c:pt>
                <c:pt idx="5">
                  <c:v>-42.75</c:v>
                </c:pt>
                <c:pt idx="6">
                  <c:v>-43.25</c:v>
                </c:pt>
                <c:pt idx="7">
                  <c:v>-43.25</c:v>
                </c:pt>
                <c:pt idx="8">
                  <c:v>-43.25</c:v>
                </c:pt>
                <c:pt idx="9">
                  <c:v>-43.5</c:v>
                </c:pt>
                <c:pt idx="10">
                  <c:v>-44.5</c:v>
                </c:pt>
                <c:pt idx="11">
                  <c:v>-44</c:v>
                </c:pt>
                <c:pt idx="12">
                  <c:v>-45.25</c:v>
                </c:pt>
                <c:pt idx="13">
                  <c:v>-46.25</c:v>
                </c:pt>
                <c:pt idx="14">
                  <c:v>-47.5</c:v>
                </c:pt>
                <c:pt idx="15">
                  <c:v>-47.25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A!$I$13:$I$28</c:f>
              <c:numCache>
                <c:ptCount val="16"/>
                <c:pt idx="0">
                  <c:v>8.5</c:v>
                </c:pt>
                <c:pt idx="1">
                  <c:v>7</c:v>
                </c:pt>
                <c:pt idx="2">
                  <c:v>6.75</c:v>
                </c:pt>
                <c:pt idx="3">
                  <c:v>7</c:v>
                </c:pt>
                <c:pt idx="4">
                  <c:v>6.25</c:v>
                </c:pt>
                <c:pt idx="5">
                  <c:v>6.25</c:v>
                </c:pt>
                <c:pt idx="6">
                  <c:v>6.25</c:v>
                </c:pt>
                <c:pt idx="7">
                  <c:v>6.75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7.25</c:v>
                </c:pt>
                <c:pt idx="12">
                  <c:v>6.75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A!$K$13:$K$28</c:f>
              <c:numCache>
                <c:ptCount val="16"/>
                <c:pt idx="0">
                  <c:v>-11</c:v>
                </c:pt>
                <c:pt idx="1">
                  <c:v>-12.75</c:v>
                </c:pt>
                <c:pt idx="2">
                  <c:v>-14</c:v>
                </c:pt>
                <c:pt idx="3">
                  <c:v>-14</c:v>
                </c:pt>
                <c:pt idx="4">
                  <c:v>-15.5</c:v>
                </c:pt>
                <c:pt idx="5">
                  <c:v>-15.5</c:v>
                </c:pt>
                <c:pt idx="6">
                  <c:v>-16</c:v>
                </c:pt>
                <c:pt idx="7">
                  <c:v>-15.75</c:v>
                </c:pt>
                <c:pt idx="8">
                  <c:v>-15.75</c:v>
                </c:pt>
                <c:pt idx="9">
                  <c:v>-16</c:v>
                </c:pt>
                <c:pt idx="10">
                  <c:v>-15.5</c:v>
                </c:pt>
                <c:pt idx="11">
                  <c:v>-15.75</c:v>
                </c:pt>
                <c:pt idx="12">
                  <c:v>-16.5</c:v>
                </c:pt>
                <c:pt idx="13">
                  <c:v>-18</c:v>
                </c:pt>
                <c:pt idx="14">
                  <c:v>-18.25</c:v>
                </c:pt>
                <c:pt idx="15">
                  <c:v>-18.5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A!$M$13:$M$28</c:f>
              <c:numCache>
                <c:ptCount val="16"/>
                <c:pt idx="0">
                  <c:v>-52</c:v>
                </c:pt>
                <c:pt idx="1">
                  <c:v>-53.75</c:v>
                </c:pt>
                <c:pt idx="2">
                  <c:v>-54.25</c:v>
                </c:pt>
                <c:pt idx="3">
                  <c:v>-54.25</c:v>
                </c:pt>
                <c:pt idx="4">
                  <c:v>-55.75</c:v>
                </c:pt>
                <c:pt idx="5">
                  <c:v>-56</c:v>
                </c:pt>
                <c:pt idx="6">
                  <c:v>-56.5</c:v>
                </c:pt>
                <c:pt idx="7">
                  <c:v>-56.75</c:v>
                </c:pt>
                <c:pt idx="8">
                  <c:v>-57</c:v>
                </c:pt>
                <c:pt idx="9">
                  <c:v>-58</c:v>
                </c:pt>
                <c:pt idx="10">
                  <c:v>-56.5</c:v>
                </c:pt>
                <c:pt idx="11">
                  <c:v>-57.25</c:v>
                </c:pt>
                <c:pt idx="12">
                  <c:v>-57.75</c:v>
                </c:pt>
                <c:pt idx="13">
                  <c:v>-58.75</c:v>
                </c:pt>
                <c:pt idx="14">
                  <c:v>-58</c:v>
                </c:pt>
                <c:pt idx="15">
                  <c:v>-60.25</c:v>
                </c:pt>
              </c:numCache>
            </c:numRef>
          </c:yVal>
          <c:smooth val="0"/>
        </c:ser>
        <c:axId val="11444566"/>
        <c:axId val="35892231"/>
      </c:scatterChart>
      <c:valAx>
        <c:axId val="11444566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92231"/>
        <c:crossesAt val="-100"/>
        <c:crossBetween val="midCat"/>
        <c:dispUnits/>
      </c:valAx>
      <c:valAx>
        <c:axId val="35892231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4566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A!$C$29:$C$45</c:f>
              <c:numCache>
                <c:ptCount val="17"/>
                <c:pt idx="1">
                  <c:v>-65.5</c:v>
                </c:pt>
                <c:pt idx="2">
                  <c:v>-63.5</c:v>
                </c:pt>
                <c:pt idx="3">
                  <c:v>-60.5</c:v>
                </c:pt>
                <c:pt idx="4">
                  <c:v>-57.25</c:v>
                </c:pt>
                <c:pt idx="5">
                  <c:v>-57</c:v>
                </c:pt>
                <c:pt idx="6">
                  <c:v>-60</c:v>
                </c:pt>
                <c:pt idx="7">
                  <c:v>-61</c:v>
                </c:pt>
                <c:pt idx="8">
                  <c:v>-60.5</c:v>
                </c:pt>
                <c:pt idx="9">
                  <c:v>-59</c:v>
                </c:pt>
                <c:pt idx="10">
                  <c:v>-63.75</c:v>
                </c:pt>
                <c:pt idx="11">
                  <c:v>-64</c:v>
                </c:pt>
                <c:pt idx="12">
                  <c:v>-63.75</c:v>
                </c:pt>
                <c:pt idx="13">
                  <c:v>-64.25</c:v>
                </c:pt>
                <c:pt idx="14">
                  <c:v>-65</c:v>
                </c:pt>
                <c:pt idx="15">
                  <c:v>-65.25</c:v>
                </c:pt>
                <c:pt idx="16">
                  <c:v>-65.5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A!$E$29:$E$45</c:f>
              <c:numCache>
                <c:ptCount val="17"/>
                <c:pt idx="0">
                  <c:v>-57.25</c:v>
                </c:pt>
                <c:pt idx="1">
                  <c:v>-56.25</c:v>
                </c:pt>
                <c:pt idx="2">
                  <c:v>-54.25</c:v>
                </c:pt>
                <c:pt idx="3">
                  <c:v>-50.5</c:v>
                </c:pt>
                <c:pt idx="4">
                  <c:v>-46.75</c:v>
                </c:pt>
                <c:pt idx="5">
                  <c:v>-47.5</c:v>
                </c:pt>
                <c:pt idx="6">
                  <c:v>-50.5</c:v>
                </c:pt>
                <c:pt idx="7">
                  <c:v>-51.25</c:v>
                </c:pt>
                <c:pt idx="8">
                  <c:v>-50.75</c:v>
                </c:pt>
                <c:pt idx="9">
                  <c:v>-49.25</c:v>
                </c:pt>
                <c:pt idx="10">
                  <c:v>-54.25</c:v>
                </c:pt>
                <c:pt idx="11">
                  <c:v>-54</c:v>
                </c:pt>
                <c:pt idx="12">
                  <c:v>-53.75</c:v>
                </c:pt>
                <c:pt idx="13">
                  <c:v>-54.5</c:v>
                </c:pt>
                <c:pt idx="14">
                  <c:v>-55.25</c:v>
                </c:pt>
                <c:pt idx="15">
                  <c:v>-55.25</c:v>
                </c:pt>
                <c:pt idx="16">
                  <c:v>-56.5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A!$G$29:$G$45</c:f>
              <c:numCache>
                <c:ptCount val="17"/>
                <c:pt idx="0">
                  <c:v>-50</c:v>
                </c:pt>
                <c:pt idx="1">
                  <c:v>-49.5</c:v>
                </c:pt>
                <c:pt idx="2">
                  <c:v>-46.75</c:v>
                </c:pt>
                <c:pt idx="3">
                  <c:v>-42.75</c:v>
                </c:pt>
                <c:pt idx="4">
                  <c:v>-39</c:v>
                </c:pt>
                <c:pt idx="5">
                  <c:v>-38.75</c:v>
                </c:pt>
                <c:pt idx="6">
                  <c:v>-42.5</c:v>
                </c:pt>
                <c:pt idx="7">
                  <c:v>-43.75</c:v>
                </c:pt>
                <c:pt idx="8">
                  <c:v>-43.25</c:v>
                </c:pt>
                <c:pt idx="9">
                  <c:v>-41.75</c:v>
                </c:pt>
                <c:pt idx="10">
                  <c:v>-47.25</c:v>
                </c:pt>
                <c:pt idx="11">
                  <c:v>-47.75</c:v>
                </c:pt>
                <c:pt idx="12">
                  <c:v>-48</c:v>
                </c:pt>
                <c:pt idx="13">
                  <c:v>-48.5</c:v>
                </c:pt>
                <c:pt idx="14">
                  <c:v>-49</c:v>
                </c:pt>
                <c:pt idx="15">
                  <c:v>-49.25</c:v>
                </c:pt>
                <c:pt idx="16">
                  <c:v>-50.5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A!$I$29:$I$45</c:f>
              <c:numCache>
                <c:ptCount val="17"/>
                <c:pt idx="0">
                  <c:v>4.25</c:v>
                </c:pt>
                <c:pt idx="1">
                  <c:v>3</c:v>
                </c:pt>
                <c:pt idx="2">
                  <c:v>5.25</c:v>
                </c:pt>
                <c:pt idx="3">
                  <c:v>7</c:v>
                </c:pt>
                <c:pt idx="4">
                  <c:v>8</c:v>
                </c:pt>
                <c:pt idx="5">
                  <c:v>9.25</c:v>
                </c:pt>
                <c:pt idx="6">
                  <c:v>8</c:v>
                </c:pt>
                <c:pt idx="7">
                  <c:v>7.5</c:v>
                </c:pt>
                <c:pt idx="8">
                  <c:v>8</c:v>
                </c:pt>
                <c:pt idx="9">
                  <c:v>8.75</c:v>
                </c:pt>
                <c:pt idx="10">
                  <c:v>7.25</c:v>
                </c:pt>
                <c:pt idx="11">
                  <c:v>7.25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7.25</c:v>
                </c:pt>
                <c:pt idx="16">
                  <c:v>6.75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A!$K$29:$K$45</c:f>
              <c:numCache>
                <c:ptCount val="17"/>
                <c:pt idx="0">
                  <c:v>-19</c:v>
                </c:pt>
                <c:pt idx="1">
                  <c:v>-19</c:v>
                </c:pt>
                <c:pt idx="2">
                  <c:v>-18.75</c:v>
                </c:pt>
                <c:pt idx="3">
                  <c:v>-15</c:v>
                </c:pt>
                <c:pt idx="4">
                  <c:v>-11.75</c:v>
                </c:pt>
                <c:pt idx="5">
                  <c:v>-12</c:v>
                </c:pt>
                <c:pt idx="6">
                  <c:v>-13.5</c:v>
                </c:pt>
                <c:pt idx="7">
                  <c:v>-14.75</c:v>
                </c:pt>
                <c:pt idx="8">
                  <c:v>-14.25</c:v>
                </c:pt>
                <c:pt idx="9">
                  <c:v>-13.5</c:v>
                </c:pt>
                <c:pt idx="10">
                  <c:v>-16</c:v>
                </c:pt>
                <c:pt idx="11">
                  <c:v>-16.75</c:v>
                </c:pt>
                <c:pt idx="12">
                  <c:v>-17.25</c:v>
                </c:pt>
                <c:pt idx="13">
                  <c:v>-17.5</c:v>
                </c:pt>
                <c:pt idx="14">
                  <c:v>-18</c:v>
                </c:pt>
                <c:pt idx="15">
                  <c:v>-18</c:v>
                </c:pt>
                <c:pt idx="16">
                  <c:v>-18.75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A!$M$29:$M$45</c:f>
              <c:numCache>
                <c:ptCount val="17"/>
                <c:pt idx="0">
                  <c:v>-60.5</c:v>
                </c:pt>
                <c:pt idx="1">
                  <c:v>-61</c:v>
                </c:pt>
                <c:pt idx="2">
                  <c:v>-59.25</c:v>
                </c:pt>
                <c:pt idx="3">
                  <c:v>-55.5</c:v>
                </c:pt>
                <c:pt idx="4">
                  <c:v>-53.25</c:v>
                </c:pt>
                <c:pt idx="5">
                  <c:v>-53.25</c:v>
                </c:pt>
                <c:pt idx="6">
                  <c:v>-56</c:v>
                </c:pt>
                <c:pt idx="7">
                  <c:v>-57.25</c:v>
                </c:pt>
                <c:pt idx="8">
                  <c:v>-56.5</c:v>
                </c:pt>
                <c:pt idx="9">
                  <c:v>-55</c:v>
                </c:pt>
                <c:pt idx="10">
                  <c:v>-59.5</c:v>
                </c:pt>
                <c:pt idx="11">
                  <c:v>-60.25</c:v>
                </c:pt>
                <c:pt idx="12">
                  <c:v>-60.25</c:v>
                </c:pt>
                <c:pt idx="13">
                  <c:v>-60.5</c:v>
                </c:pt>
                <c:pt idx="14">
                  <c:v>-61.5</c:v>
                </c:pt>
                <c:pt idx="15">
                  <c:v>-61.25</c:v>
                </c:pt>
                <c:pt idx="16">
                  <c:v>-62</c:v>
                </c:pt>
              </c:numCache>
            </c:numRef>
          </c:yVal>
          <c:smooth val="0"/>
        </c:ser>
        <c:axId val="54594624"/>
        <c:axId val="21589569"/>
      </c:scatterChart>
      <c:valAx>
        <c:axId val="54594624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89569"/>
        <c:crossesAt val="-100"/>
        <c:crossBetween val="midCat"/>
        <c:dispUnits/>
      </c:valAx>
      <c:valAx>
        <c:axId val="21589569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9462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A!$C$46:$C$50</c:f>
              <c:numCache>
                <c:ptCount val="5"/>
                <c:pt idx="0">
                  <c:v>-54.75</c:v>
                </c:pt>
                <c:pt idx="1">
                  <c:v>-52.75</c:v>
                </c:pt>
                <c:pt idx="2">
                  <c:v>-45</c:v>
                </c:pt>
                <c:pt idx="3">
                  <c:v>-60.5</c:v>
                </c:pt>
                <c:pt idx="4">
                  <c:v>-64.5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A!$E$46:$E$50</c:f>
              <c:numCache>
                <c:ptCount val="5"/>
                <c:pt idx="0">
                  <c:v>-45.75</c:v>
                </c:pt>
                <c:pt idx="1">
                  <c:v>-39.75</c:v>
                </c:pt>
                <c:pt idx="2">
                  <c:v>-34.5</c:v>
                </c:pt>
                <c:pt idx="3">
                  <c:v>-52.25</c:v>
                </c:pt>
                <c:pt idx="4">
                  <c:v>-58.25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A!$G$46:$G$50</c:f>
              <c:numCache>
                <c:ptCount val="5"/>
                <c:pt idx="0">
                  <c:v>-36</c:v>
                </c:pt>
                <c:pt idx="1">
                  <c:v>-26.25</c:v>
                </c:pt>
                <c:pt idx="2">
                  <c:v>-22.75</c:v>
                </c:pt>
                <c:pt idx="3">
                  <c:v>-48</c:v>
                </c:pt>
                <c:pt idx="4">
                  <c:v>-55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A!$I$46:$I$50</c:f>
              <c:numCache>
                <c:ptCount val="5"/>
                <c:pt idx="0">
                  <c:v>7</c:v>
                </c:pt>
                <c:pt idx="1">
                  <c:v>11.25</c:v>
                </c:pt>
                <c:pt idx="2">
                  <c:v>13</c:v>
                </c:pt>
                <c:pt idx="3">
                  <c:v>1.5</c:v>
                </c:pt>
                <c:pt idx="4">
                  <c:v>-2.5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A!$K$46:$K$50</c:f>
              <c:numCache>
                <c:ptCount val="5"/>
                <c:pt idx="0">
                  <c:v>-12.5</c:v>
                </c:pt>
                <c:pt idx="1">
                  <c:v>-7.25</c:v>
                </c:pt>
                <c:pt idx="2">
                  <c:v>-4.75</c:v>
                </c:pt>
                <c:pt idx="3">
                  <c:v>-16</c:v>
                </c:pt>
                <c:pt idx="4">
                  <c:v>-22.5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A!$M$46:$M$50</c:f>
              <c:numCache>
                <c:ptCount val="5"/>
                <c:pt idx="0">
                  <c:v>-51.25</c:v>
                </c:pt>
                <c:pt idx="1">
                  <c:v>-47.5</c:v>
                </c:pt>
                <c:pt idx="2">
                  <c:v>-42</c:v>
                </c:pt>
                <c:pt idx="3">
                  <c:v>-57</c:v>
                </c:pt>
                <c:pt idx="4">
                  <c:v>-61.75</c:v>
                </c:pt>
              </c:numCache>
            </c:numRef>
          </c:yVal>
          <c:smooth val="0"/>
        </c:ser>
        <c:axId val="60088394"/>
        <c:axId val="3924635"/>
      </c:scatterChart>
      <c:valAx>
        <c:axId val="60088394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4635"/>
        <c:crossesAt val="-100"/>
        <c:crossBetween val="midCat"/>
        <c:dispUnits/>
      </c:valAx>
      <c:valAx>
        <c:axId val="3924635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8839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A!$C$51:$C$74</c:f>
              <c:numCache>
                <c:ptCount val="24"/>
                <c:pt idx="0">
                  <c:v>-66.25</c:v>
                </c:pt>
                <c:pt idx="1">
                  <c:v>-67</c:v>
                </c:pt>
                <c:pt idx="2">
                  <c:v>-66</c:v>
                </c:pt>
                <c:pt idx="3">
                  <c:v>-64.25</c:v>
                </c:pt>
                <c:pt idx="4">
                  <c:v>-63.625</c:v>
                </c:pt>
                <c:pt idx="5">
                  <c:v>-62.75</c:v>
                </c:pt>
                <c:pt idx="6">
                  <c:v>-62.5</c:v>
                </c:pt>
                <c:pt idx="7">
                  <c:v>-62.75</c:v>
                </c:pt>
                <c:pt idx="8">
                  <c:v>-60.75</c:v>
                </c:pt>
                <c:pt idx="9">
                  <c:v>-59.25</c:v>
                </c:pt>
                <c:pt idx="10">
                  <c:v>-58.75</c:v>
                </c:pt>
                <c:pt idx="11">
                  <c:v>-58.5</c:v>
                </c:pt>
                <c:pt idx="12">
                  <c:v>-58.5</c:v>
                </c:pt>
                <c:pt idx="13">
                  <c:v>-57.5</c:v>
                </c:pt>
                <c:pt idx="14">
                  <c:v>-57.25</c:v>
                </c:pt>
                <c:pt idx="15">
                  <c:v>-57.5</c:v>
                </c:pt>
                <c:pt idx="16">
                  <c:v>-61</c:v>
                </c:pt>
                <c:pt idx="17">
                  <c:v>-64</c:v>
                </c:pt>
                <c:pt idx="18">
                  <c:v>-65.25</c:v>
                </c:pt>
                <c:pt idx="19">
                  <c:v>-65</c:v>
                </c:pt>
                <c:pt idx="20">
                  <c:v>-66.25</c:v>
                </c:pt>
                <c:pt idx="21">
                  <c:v>-66.5</c:v>
                </c:pt>
                <c:pt idx="22">
                  <c:v>-67</c:v>
                </c:pt>
                <c:pt idx="23">
                  <c:v>-67.25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A!$E$51:$E$74</c:f>
              <c:numCache>
                <c:ptCount val="24"/>
                <c:pt idx="0">
                  <c:v>-62.25</c:v>
                </c:pt>
                <c:pt idx="1">
                  <c:v>-63.25</c:v>
                </c:pt>
                <c:pt idx="2">
                  <c:v>-62.25</c:v>
                </c:pt>
                <c:pt idx="3">
                  <c:v>-58.25</c:v>
                </c:pt>
                <c:pt idx="4">
                  <c:v>-58</c:v>
                </c:pt>
                <c:pt idx="5">
                  <c:v>-56.75</c:v>
                </c:pt>
                <c:pt idx="6">
                  <c:v>-57.5</c:v>
                </c:pt>
                <c:pt idx="7">
                  <c:v>-57.5</c:v>
                </c:pt>
                <c:pt idx="8">
                  <c:v>-54.75</c:v>
                </c:pt>
                <c:pt idx="9">
                  <c:v>-51.75</c:v>
                </c:pt>
                <c:pt idx="10">
                  <c:v>-50</c:v>
                </c:pt>
                <c:pt idx="11">
                  <c:v>-53.25</c:v>
                </c:pt>
                <c:pt idx="12">
                  <c:v>-49.75</c:v>
                </c:pt>
                <c:pt idx="13">
                  <c:v>-48.5</c:v>
                </c:pt>
                <c:pt idx="14">
                  <c:v>-48</c:v>
                </c:pt>
                <c:pt idx="15">
                  <c:v>-48.25</c:v>
                </c:pt>
                <c:pt idx="16">
                  <c:v>-52</c:v>
                </c:pt>
                <c:pt idx="17">
                  <c:v>-55.25</c:v>
                </c:pt>
                <c:pt idx="18">
                  <c:v>-57.25</c:v>
                </c:pt>
                <c:pt idx="19">
                  <c:v>-57.5</c:v>
                </c:pt>
                <c:pt idx="20">
                  <c:v>-59.25</c:v>
                </c:pt>
                <c:pt idx="21">
                  <c:v>-59.25</c:v>
                </c:pt>
                <c:pt idx="22">
                  <c:v>-60</c:v>
                </c:pt>
                <c:pt idx="23">
                  <c:v>-60.25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A!$G$51:$G$74</c:f>
              <c:numCache>
                <c:ptCount val="24"/>
                <c:pt idx="0">
                  <c:v>-57.25</c:v>
                </c:pt>
                <c:pt idx="1">
                  <c:v>-57.75</c:v>
                </c:pt>
                <c:pt idx="2">
                  <c:v>-57.75</c:v>
                </c:pt>
                <c:pt idx="3">
                  <c:v>-52.5</c:v>
                </c:pt>
                <c:pt idx="4">
                  <c:v>-52.25</c:v>
                </c:pt>
                <c:pt idx="6">
                  <c:v>-50.25</c:v>
                </c:pt>
                <c:pt idx="7">
                  <c:v>-51</c:v>
                </c:pt>
                <c:pt idx="8">
                  <c:v>-45.5</c:v>
                </c:pt>
                <c:pt idx="9">
                  <c:v>-42</c:v>
                </c:pt>
                <c:pt idx="10">
                  <c:v>-39.5</c:v>
                </c:pt>
                <c:pt idx="11">
                  <c:v>-39</c:v>
                </c:pt>
                <c:pt idx="12">
                  <c:v>-39.75</c:v>
                </c:pt>
                <c:pt idx="13">
                  <c:v>-37.25</c:v>
                </c:pt>
                <c:pt idx="14">
                  <c:v>-37</c:v>
                </c:pt>
                <c:pt idx="15">
                  <c:v>-37</c:v>
                </c:pt>
                <c:pt idx="16">
                  <c:v>-42.75</c:v>
                </c:pt>
                <c:pt idx="17">
                  <c:v>-48</c:v>
                </c:pt>
                <c:pt idx="18">
                  <c:v>-49.75</c:v>
                </c:pt>
                <c:pt idx="19">
                  <c:v>-49.75</c:v>
                </c:pt>
                <c:pt idx="20">
                  <c:v>-52.5</c:v>
                </c:pt>
                <c:pt idx="21">
                  <c:v>-52.75</c:v>
                </c:pt>
                <c:pt idx="22">
                  <c:v>-54.25</c:v>
                </c:pt>
                <c:pt idx="23">
                  <c:v>-55.25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A!$I$51:$I$74</c:f>
              <c:numCache>
                <c:ptCount val="24"/>
                <c:pt idx="0">
                  <c:v>-4.25</c:v>
                </c:pt>
                <c:pt idx="1">
                  <c:v>-6.25</c:v>
                </c:pt>
                <c:pt idx="2">
                  <c:v>-7.625</c:v>
                </c:pt>
                <c:pt idx="3">
                  <c:v>-4</c:v>
                </c:pt>
                <c:pt idx="4">
                  <c:v>-3.75</c:v>
                </c:pt>
                <c:pt idx="6">
                  <c:v>-2.25</c:v>
                </c:pt>
                <c:pt idx="7">
                  <c:v>-2.25</c:v>
                </c:pt>
                <c:pt idx="8">
                  <c:v>0.5</c:v>
                </c:pt>
                <c:pt idx="9">
                  <c:v>2</c:v>
                </c:pt>
                <c:pt idx="10">
                  <c:v>3.25</c:v>
                </c:pt>
                <c:pt idx="11">
                  <c:v>3.5</c:v>
                </c:pt>
                <c:pt idx="12">
                  <c:v>3.5</c:v>
                </c:pt>
                <c:pt idx="13">
                  <c:v>4.5</c:v>
                </c:pt>
                <c:pt idx="14">
                  <c:v>4.75</c:v>
                </c:pt>
                <c:pt idx="15">
                  <c:v>4.75</c:v>
                </c:pt>
                <c:pt idx="16">
                  <c:v>1.5</c:v>
                </c:pt>
                <c:pt idx="17">
                  <c:v>-1.25</c:v>
                </c:pt>
                <c:pt idx="18">
                  <c:v>-2</c:v>
                </c:pt>
                <c:pt idx="19">
                  <c:v>-1.75</c:v>
                </c:pt>
                <c:pt idx="20">
                  <c:v>-3.25</c:v>
                </c:pt>
                <c:pt idx="21">
                  <c:v>-3.5</c:v>
                </c:pt>
                <c:pt idx="22">
                  <c:v>-4.25</c:v>
                </c:pt>
                <c:pt idx="23">
                  <c:v>-5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A!$K$51:$K$74</c:f>
              <c:numCache>
                <c:ptCount val="24"/>
                <c:pt idx="0">
                  <c:v>-25.25</c:v>
                </c:pt>
                <c:pt idx="1">
                  <c:v>-26.25</c:v>
                </c:pt>
                <c:pt idx="2">
                  <c:v>-26.75</c:v>
                </c:pt>
                <c:pt idx="3">
                  <c:v>-23.625</c:v>
                </c:pt>
                <c:pt idx="4">
                  <c:v>-23.5</c:v>
                </c:pt>
                <c:pt idx="5">
                  <c:v>-22.25</c:v>
                </c:pt>
                <c:pt idx="6">
                  <c:v>-21.75</c:v>
                </c:pt>
                <c:pt idx="7">
                  <c:v>-22.25</c:v>
                </c:pt>
                <c:pt idx="8">
                  <c:v>-20.75</c:v>
                </c:pt>
                <c:pt idx="9">
                  <c:v>-18.5</c:v>
                </c:pt>
                <c:pt idx="10">
                  <c:v>-16.5</c:v>
                </c:pt>
                <c:pt idx="11">
                  <c:v>-16</c:v>
                </c:pt>
                <c:pt idx="12">
                  <c:v>-15.5</c:v>
                </c:pt>
                <c:pt idx="13">
                  <c:v>-14.5</c:v>
                </c:pt>
                <c:pt idx="14">
                  <c:v>-13.5</c:v>
                </c:pt>
                <c:pt idx="15">
                  <c:v>-13.5</c:v>
                </c:pt>
                <c:pt idx="16">
                  <c:v>-15</c:v>
                </c:pt>
                <c:pt idx="17">
                  <c:v>-17</c:v>
                </c:pt>
                <c:pt idx="18">
                  <c:v>-19.25</c:v>
                </c:pt>
                <c:pt idx="19">
                  <c:v>-20.25</c:v>
                </c:pt>
                <c:pt idx="20">
                  <c:v>-22.25</c:v>
                </c:pt>
                <c:pt idx="21">
                  <c:v>-23</c:v>
                </c:pt>
                <c:pt idx="22">
                  <c:v>-24.25</c:v>
                </c:pt>
                <c:pt idx="23">
                  <c:v>-24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A!$M$51:$M$74</c:f>
              <c:numCache>
                <c:ptCount val="24"/>
                <c:pt idx="0">
                  <c:v>-63.25</c:v>
                </c:pt>
                <c:pt idx="1">
                  <c:v>-64</c:v>
                </c:pt>
                <c:pt idx="2">
                  <c:v>-63.625</c:v>
                </c:pt>
                <c:pt idx="3">
                  <c:v>-60.75</c:v>
                </c:pt>
                <c:pt idx="4">
                  <c:v>-60.625</c:v>
                </c:pt>
                <c:pt idx="5">
                  <c:v>-59.625</c:v>
                </c:pt>
                <c:pt idx="6">
                  <c:v>-59.25</c:v>
                </c:pt>
                <c:pt idx="7">
                  <c:v>-59.75</c:v>
                </c:pt>
                <c:pt idx="8">
                  <c:v>-56.75</c:v>
                </c:pt>
                <c:pt idx="9">
                  <c:v>-55</c:v>
                </c:pt>
                <c:pt idx="10">
                  <c:v>-54</c:v>
                </c:pt>
                <c:pt idx="11">
                  <c:v>-54</c:v>
                </c:pt>
                <c:pt idx="12">
                  <c:v>-53.75</c:v>
                </c:pt>
                <c:pt idx="13">
                  <c:v>-52.5</c:v>
                </c:pt>
                <c:pt idx="14">
                  <c:v>-52.25</c:v>
                </c:pt>
                <c:pt idx="15">
                  <c:v>-52.5</c:v>
                </c:pt>
                <c:pt idx="16">
                  <c:v>-56.5</c:v>
                </c:pt>
                <c:pt idx="17">
                  <c:v>-60</c:v>
                </c:pt>
                <c:pt idx="18">
                  <c:v>-61.25</c:v>
                </c:pt>
                <c:pt idx="19">
                  <c:v>-61</c:v>
                </c:pt>
                <c:pt idx="20">
                  <c:v>-61</c:v>
                </c:pt>
                <c:pt idx="21">
                  <c:v>-63</c:v>
                </c:pt>
                <c:pt idx="22">
                  <c:v>-63.75</c:v>
                </c:pt>
                <c:pt idx="23">
                  <c:v>-63</c:v>
                </c:pt>
              </c:numCache>
            </c:numRef>
          </c:yVal>
          <c:smooth val="0"/>
        </c:ser>
        <c:axId val="35321716"/>
        <c:axId val="49459989"/>
      </c:scatterChart>
      <c:valAx>
        <c:axId val="35321716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59989"/>
        <c:crossesAt val="-100"/>
        <c:crossBetween val="midCat"/>
        <c:dispUnits/>
      </c:valAx>
      <c:valAx>
        <c:axId val="49459989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21716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A!$C$75:$C$95</c:f>
              <c:numCache>
                <c:ptCount val="21"/>
                <c:pt idx="1">
                  <c:v>-68.75</c:v>
                </c:pt>
                <c:pt idx="2">
                  <c:v>-68.25</c:v>
                </c:pt>
                <c:pt idx="3">
                  <c:v>-67.5</c:v>
                </c:pt>
                <c:pt idx="4">
                  <c:v>-66.25</c:v>
                </c:pt>
                <c:pt idx="5">
                  <c:v>-65.75</c:v>
                </c:pt>
                <c:pt idx="6">
                  <c:v>-65.5</c:v>
                </c:pt>
                <c:pt idx="7">
                  <c:v>-65</c:v>
                </c:pt>
                <c:pt idx="8">
                  <c:v>-64</c:v>
                </c:pt>
                <c:pt idx="9">
                  <c:v>-58</c:v>
                </c:pt>
                <c:pt idx="10">
                  <c:v>-60.5</c:v>
                </c:pt>
                <c:pt idx="11">
                  <c:v>-62.25</c:v>
                </c:pt>
                <c:pt idx="12">
                  <c:v>-62.75</c:v>
                </c:pt>
                <c:pt idx="13">
                  <c:v>-63</c:v>
                </c:pt>
                <c:pt idx="14">
                  <c:v>-67.5</c:v>
                </c:pt>
                <c:pt idx="15">
                  <c:v>-67</c:v>
                </c:pt>
                <c:pt idx="16">
                  <c:v>-67.5</c:v>
                </c:pt>
                <c:pt idx="17">
                  <c:v>-68.5</c:v>
                </c:pt>
                <c:pt idx="18">
                  <c:v>-68</c:v>
                </c:pt>
                <c:pt idx="19">
                  <c:v>-68.5</c:v>
                </c:pt>
                <c:pt idx="20">
                  <c:v>-68.5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A!$E$75:$E$95</c:f>
              <c:numCache>
                <c:ptCount val="21"/>
                <c:pt idx="0">
                  <c:v>-64.75</c:v>
                </c:pt>
                <c:pt idx="1">
                  <c:v>-63</c:v>
                </c:pt>
                <c:pt idx="2">
                  <c:v>-62</c:v>
                </c:pt>
                <c:pt idx="3">
                  <c:v>-60.25</c:v>
                </c:pt>
                <c:pt idx="4">
                  <c:v>-59.25</c:v>
                </c:pt>
                <c:pt idx="5">
                  <c:v>-57.75</c:v>
                </c:pt>
                <c:pt idx="6">
                  <c:v>-57.75</c:v>
                </c:pt>
                <c:pt idx="7">
                  <c:v>-56.25</c:v>
                </c:pt>
                <c:pt idx="8">
                  <c:v>-55.5</c:v>
                </c:pt>
                <c:pt idx="9">
                  <c:v>-47</c:v>
                </c:pt>
                <c:pt idx="10">
                  <c:v>-48.75</c:v>
                </c:pt>
                <c:pt idx="11">
                  <c:v>-51.75</c:v>
                </c:pt>
                <c:pt idx="12">
                  <c:v>-52.75</c:v>
                </c:pt>
                <c:pt idx="13">
                  <c:v>-53.5</c:v>
                </c:pt>
                <c:pt idx="14">
                  <c:v>-58.75</c:v>
                </c:pt>
                <c:pt idx="15">
                  <c:v>-58.75</c:v>
                </c:pt>
                <c:pt idx="16">
                  <c:v>-60.75</c:v>
                </c:pt>
                <c:pt idx="17">
                  <c:v>-60.75</c:v>
                </c:pt>
                <c:pt idx="18">
                  <c:v>-60.75</c:v>
                </c:pt>
                <c:pt idx="19">
                  <c:v>-61.25</c:v>
                </c:pt>
                <c:pt idx="20">
                  <c:v>-61.25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A!$G$75:$G$95</c:f>
              <c:numCache>
                <c:ptCount val="21"/>
                <c:pt idx="0">
                  <c:v>-59.25</c:v>
                </c:pt>
                <c:pt idx="1">
                  <c:v>-56.5</c:v>
                </c:pt>
                <c:pt idx="2">
                  <c:v>-56.75</c:v>
                </c:pt>
                <c:pt idx="3">
                  <c:v>-54.75</c:v>
                </c:pt>
                <c:pt idx="4">
                  <c:v>-51.5</c:v>
                </c:pt>
                <c:pt idx="5">
                  <c:v>-49.75</c:v>
                </c:pt>
                <c:pt idx="6">
                  <c:v>-50.5</c:v>
                </c:pt>
                <c:pt idx="7">
                  <c:v>-48.5</c:v>
                </c:pt>
                <c:pt idx="8">
                  <c:v>-47</c:v>
                </c:pt>
                <c:pt idx="9">
                  <c:v>-34.75</c:v>
                </c:pt>
                <c:pt idx="10">
                  <c:v>-38.75</c:v>
                </c:pt>
                <c:pt idx="11">
                  <c:v>-41.75</c:v>
                </c:pt>
                <c:pt idx="12">
                  <c:v>-42.75</c:v>
                </c:pt>
                <c:pt idx="13">
                  <c:v>-44.5</c:v>
                </c:pt>
                <c:pt idx="14">
                  <c:v>-53.25</c:v>
                </c:pt>
                <c:pt idx="15">
                  <c:v>-53</c:v>
                </c:pt>
                <c:pt idx="16">
                  <c:v>-54.25</c:v>
                </c:pt>
                <c:pt idx="17">
                  <c:v>-55</c:v>
                </c:pt>
                <c:pt idx="18">
                  <c:v>-55.5</c:v>
                </c:pt>
                <c:pt idx="19">
                  <c:v>-56.75</c:v>
                </c:pt>
                <c:pt idx="20">
                  <c:v>-56.75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A!$I$75:$I$95</c:f>
              <c:numCache>
                <c:ptCount val="21"/>
                <c:pt idx="0">
                  <c:v>-6.5</c:v>
                </c:pt>
                <c:pt idx="1">
                  <c:v>-5.25</c:v>
                </c:pt>
                <c:pt idx="2">
                  <c:v>-6.25</c:v>
                </c:pt>
                <c:pt idx="3">
                  <c:v>-5.25</c:v>
                </c:pt>
                <c:pt idx="4">
                  <c:v>-3.5</c:v>
                </c:pt>
                <c:pt idx="5">
                  <c:v>-2</c:v>
                </c:pt>
                <c:pt idx="6">
                  <c:v>-2</c:v>
                </c:pt>
                <c:pt idx="7">
                  <c:v>-2.25</c:v>
                </c:pt>
                <c:pt idx="8">
                  <c:v>-1.25</c:v>
                </c:pt>
                <c:pt idx="9">
                  <c:v>5</c:v>
                </c:pt>
                <c:pt idx="10">
                  <c:v>3</c:v>
                </c:pt>
                <c:pt idx="11">
                  <c:v>1.5</c:v>
                </c:pt>
                <c:pt idx="12">
                  <c:v>1.25</c:v>
                </c:pt>
                <c:pt idx="13">
                  <c:v>0.75</c:v>
                </c:pt>
                <c:pt idx="14">
                  <c:v>-3.5</c:v>
                </c:pt>
                <c:pt idx="15">
                  <c:v>-2.75</c:v>
                </c:pt>
                <c:pt idx="16">
                  <c:v>-3.75</c:v>
                </c:pt>
                <c:pt idx="17">
                  <c:v>-4.5</c:v>
                </c:pt>
                <c:pt idx="18">
                  <c:v>-4.5</c:v>
                </c:pt>
                <c:pt idx="19">
                  <c:v>-4.5</c:v>
                </c:pt>
                <c:pt idx="20">
                  <c:v>-4.25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A!$K$75:$K$95</c:f>
              <c:numCache>
                <c:ptCount val="21"/>
                <c:pt idx="0">
                  <c:v>-25.25</c:v>
                </c:pt>
                <c:pt idx="1">
                  <c:v>-26.25</c:v>
                </c:pt>
                <c:pt idx="2">
                  <c:v>-26.75</c:v>
                </c:pt>
                <c:pt idx="3">
                  <c:v>-26</c:v>
                </c:pt>
                <c:pt idx="4">
                  <c:v>-24.5</c:v>
                </c:pt>
                <c:pt idx="5">
                  <c:v>-23</c:v>
                </c:pt>
                <c:pt idx="6">
                  <c:v>-22.5</c:v>
                </c:pt>
                <c:pt idx="7">
                  <c:v>-21.5</c:v>
                </c:pt>
                <c:pt idx="8">
                  <c:v>-21</c:v>
                </c:pt>
                <c:pt idx="9">
                  <c:v>-13.75</c:v>
                </c:pt>
                <c:pt idx="10">
                  <c:v>-14</c:v>
                </c:pt>
                <c:pt idx="11">
                  <c:v>-15.75</c:v>
                </c:pt>
                <c:pt idx="12">
                  <c:v>-16.75</c:v>
                </c:pt>
                <c:pt idx="13">
                  <c:v>-17.25</c:v>
                </c:pt>
                <c:pt idx="14">
                  <c:v>-21.5</c:v>
                </c:pt>
                <c:pt idx="15">
                  <c:v>-22.25</c:v>
                </c:pt>
                <c:pt idx="16">
                  <c:v>-23</c:v>
                </c:pt>
                <c:pt idx="17">
                  <c:v>-23.75</c:v>
                </c:pt>
                <c:pt idx="18">
                  <c:v>-24.25</c:v>
                </c:pt>
                <c:pt idx="19">
                  <c:v>-24.75</c:v>
                </c:pt>
                <c:pt idx="20">
                  <c:v>-25.25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A!$M$75:$M$95</c:f>
              <c:numCache>
                <c:ptCount val="21"/>
                <c:pt idx="0">
                  <c:v>-65</c:v>
                </c:pt>
                <c:pt idx="1">
                  <c:v>-64</c:v>
                </c:pt>
                <c:pt idx="2">
                  <c:v>-64.5</c:v>
                </c:pt>
                <c:pt idx="3">
                  <c:v>-63.5</c:v>
                </c:pt>
                <c:pt idx="4">
                  <c:v>-62.25</c:v>
                </c:pt>
                <c:pt idx="5">
                  <c:v>-61.5</c:v>
                </c:pt>
                <c:pt idx="6">
                  <c:v>-61</c:v>
                </c:pt>
                <c:pt idx="7">
                  <c:v>-60.75</c:v>
                </c:pt>
                <c:pt idx="8">
                  <c:v>-59.25</c:v>
                </c:pt>
                <c:pt idx="9">
                  <c:v>-52.25</c:v>
                </c:pt>
                <c:pt idx="10">
                  <c:v>-55</c:v>
                </c:pt>
                <c:pt idx="11">
                  <c:v>-57</c:v>
                </c:pt>
                <c:pt idx="12">
                  <c:v>-57.5</c:v>
                </c:pt>
                <c:pt idx="13">
                  <c:v>-58.25</c:v>
                </c:pt>
                <c:pt idx="14">
                  <c:v>-63.75</c:v>
                </c:pt>
                <c:pt idx="15">
                  <c:v>-63.5</c:v>
                </c:pt>
                <c:pt idx="16">
                  <c:v>-64.25</c:v>
                </c:pt>
                <c:pt idx="17">
                  <c:v>-65</c:v>
                </c:pt>
                <c:pt idx="18">
                  <c:v>-64.75</c:v>
                </c:pt>
                <c:pt idx="19">
                  <c:v>-65</c:v>
                </c:pt>
                <c:pt idx="20">
                  <c:v>-65.5</c:v>
                </c:pt>
              </c:numCache>
            </c:numRef>
          </c:yVal>
          <c:smooth val="0"/>
        </c:ser>
        <c:axId val="42486718"/>
        <c:axId val="46836143"/>
      </c:scatterChart>
      <c:valAx>
        <c:axId val="42486718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36143"/>
        <c:crossesAt val="-100"/>
        <c:crossBetween val="midCat"/>
        <c:dispUnits/>
      </c:valAx>
      <c:valAx>
        <c:axId val="46836143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6718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A!$C$96:$C$110</c:f>
              <c:numCache>
                <c:ptCount val="15"/>
                <c:pt idx="0">
                  <c:v>-66.25</c:v>
                </c:pt>
                <c:pt idx="1">
                  <c:v>-63.25</c:v>
                </c:pt>
                <c:pt idx="2">
                  <c:v>-61.5</c:v>
                </c:pt>
                <c:pt idx="3">
                  <c:v>-66</c:v>
                </c:pt>
                <c:pt idx="4">
                  <c:v>-67</c:v>
                </c:pt>
                <c:pt idx="5">
                  <c:v>-67.75</c:v>
                </c:pt>
                <c:pt idx="6">
                  <c:v>-67.5</c:v>
                </c:pt>
                <c:pt idx="7">
                  <c:v>-67.5</c:v>
                </c:pt>
                <c:pt idx="8">
                  <c:v>-68.5</c:v>
                </c:pt>
                <c:pt idx="9">
                  <c:v>-68</c:v>
                </c:pt>
                <c:pt idx="10">
                  <c:v>-68.25</c:v>
                </c:pt>
                <c:pt idx="11">
                  <c:v>-68.5</c:v>
                </c:pt>
                <c:pt idx="12">
                  <c:v>-68.5</c:v>
                </c:pt>
                <c:pt idx="13">
                  <c:v>-68.5</c:v>
                </c:pt>
                <c:pt idx="14">
                  <c:v>-69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A!$E$96:$E$110</c:f>
              <c:numCache>
                <c:ptCount val="15"/>
                <c:pt idx="0">
                  <c:v>-59.25</c:v>
                </c:pt>
                <c:pt idx="1">
                  <c:v>-54.75</c:v>
                </c:pt>
                <c:pt idx="2">
                  <c:v>-51.75</c:v>
                </c:pt>
                <c:pt idx="3">
                  <c:v>-59</c:v>
                </c:pt>
                <c:pt idx="4">
                  <c:v>-64</c:v>
                </c:pt>
                <c:pt idx="5">
                  <c:v>-61.25</c:v>
                </c:pt>
                <c:pt idx="6">
                  <c:v>-61.5</c:v>
                </c:pt>
                <c:pt idx="7">
                  <c:v>-61.25</c:v>
                </c:pt>
                <c:pt idx="8">
                  <c:v>-62.5</c:v>
                </c:pt>
                <c:pt idx="9">
                  <c:v>-58.75</c:v>
                </c:pt>
                <c:pt idx="10">
                  <c:v>-62.25</c:v>
                </c:pt>
                <c:pt idx="11">
                  <c:v>-63.75</c:v>
                </c:pt>
                <c:pt idx="12">
                  <c:v>-63.5</c:v>
                </c:pt>
                <c:pt idx="13">
                  <c:v>-63.75</c:v>
                </c:pt>
                <c:pt idx="14">
                  <c:v>-64.75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A!$G$96:$G$110</c:f>
              <c:numCache>
                <c:ptCount val="15"/>
                <c:pt idx="0">
                  <c:v>-53.75</c:v>
                </c:pt>
                <c:pt idx="1">
                  <c:v>-47.75</c:v>
                </c:pt>
                <c:pt idx="2">
                  <c:v>-42.75</c:v>
                </c:pt>
                <c:pt idx="3">
                  <c:v>-55.25</c:v>
                </c:pt>
                <c:pt idx="4">
                  <c:v>-56.25</c:v>
                </c:pt>
                <c:pt idx="5">
                  <c:v>-58</c:v>
                </c:pt>
                <c:pt idx="6">
                  <c:v>-58</c:v>
                </c:pt>
                <c:pt idx="7">
                  <c:v>-58</c:v>
                </c:pt>
                <c:pt idx="8">
                  <c:v>-59.25</c:v>
                </c:pt>
                <c:pt idx="9">
                  <c:v>-59.5</c:v>
                </c:pt>
                <c:pt idx="10">
                  <c:v>-59.25</c:v>
                </c:pt>
                <c:pt idx="11">
                  <c:v>-60.75</c:v>
                </c:pt>
                <c:pt idx="12">
                  <c:v>-61</c:v>
                </c:pt>
                <c:pt idx="13">
                  <c:v>-61.5</c:v>
                </c:pt>
                <c:pt idx="14">
                  <c:v>-63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A!$I$96:$I$110</c:f>
              <c:numCache>
                <c:ptCount val="15"/>
                <c:pt idx="0">
                  <c:v>-5.25</c:v>
                </c:pt>
                <c:pt idx="1">
                  <c:v>-0.75</c:v>
                </c:pt>
                <c:pt idx="2">
                  <c:v>1.25</c:v>
                </c:pt>
                <c:pt idx="3">
                  <c:v>-6</c:v>
                </c:pt>
                <c:pt idx="4">
                  <c:v>-7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-9</c:v>
                </c:pt>
                <c:pt idx="9">
                  <c:v>-7.25</c:v>
                </c:pt>
                <c:pt idx="10">
                  <c:v>-7.5</c:v>
                </c:pt>
                <c:pt idx="11">
                  <c:v>-8.5</c:v>
                </c:pt>
                <c:pt idx="12">
                  <c:v>-8</c:v>
                </c:pt>
                <c:pt idx="13">
                  <c:v>-10.25</c:v>
                </c:pt>
                <c:pt idx="14">
                  <c:v>-11.5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A!$K$96:$K$110</c:f>
              <c:numCache>
                <c:ptCount val="15"/>
                <c:pt idx="0">
                  <c:v>-25.75</c:v>
                </c:pt>
                <c:pt idx="1">
                  <c:v>-20.75</c:v>
                </c:pt>
                <c:pt idx="2">
                  <c:v>-17.75</c:v>
                </c:pt>
                <c:pt idx="3">
                  <c:v>-25</c:v>
                </c:pt>
                <c:pt idx="4">
                  <c:v>-25</c:v>
                </c:pt>
                <c:pt idx="5">
                  <c:v>-26</c:v>
                </c:pt>
                <c:pt idx="6">
                  <c:v>-26.5</c:v>
                </c:pt>
                <c:pt idx="7">
                  <c:v>-26.5</c:v>
                </c:pt>
                <c:pt idx="8">
                  <c:v>-27.75</c:v>
                </c:pt>
                <c:pt idx="9">
                  <c:v>-28</c:v>
                </c:pt>
                <c:pt idx="10">
                  <c:v>-27.75</c:v>
                </c:pt>
                <c:pt idx="11">
                  <c:v>-28.5</c:v>
                </c:pt>
                <c:pt idx="12">
                  <c:v>-28.5</c:v>
                </c:pt>
                <c:pt idx="13">
                  <c:v>-29.25</c:v>
                </c:pt>
                <c:pt idx="14">
                  <c:v>-30.25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A!$M$96:$M$110</c:f>
              <c:numCache>
                <c:ptCount val="15"/>
                <c:pt idx="0">
                  <c:v>-62.25</c:v>
                </c:pt>
                <c:pt idx="1">
                  <c:v>-58</c:v>
                </c:pt>
                <c:pt idx="2">
                  <c:v>-55.75</c:v>
                </c:pt>
                <c:pt idx="3">
                  <c:v>-63.25</c:v>
                </c:pt>
                <c:pt idx="4">
                  <c:v>-64.5</c:v>
                </c:pt>
                <c:pt idx="5">
                  <c:v>-65.75</c:v>
                </c:pt>
                <c:pt idx="6">
                  <c:v>-65.75</c:v>
                </c:pt>
                <c:pt idx="7">
                  <c:v>-65.5</c:v>
                </c:pt>
                <c:pt idx="8">
                  <c:v>-66.5</c:v>
                </c:pt>
                <c:pt idx="9">
                  <c:v>-66.5</c:v>
                </c:pt>
                <c:pt idx="10">
                  <c:v>-66.5</c:v>
                </c:pt>
                <c:pt idx="11">
                  <c:v>-67.5</c:v>
                </c:pt>
                <c:pt idx="12">
                  <c:v>-67.5</c:v>
                </c:pt>
                <c:pt idx="13">
                  <c:v>-67.5</c:v>
                </c:pt>
                <c:pt idx="14">
                  <c:v>-68</c:v>
                </c:pt>
              </c:numCache>
            </c:numRef>
          </c:yVal>
          <c:smooth val="0"/>
        </c:ser>
        <c:axId val="18872104"/>
        <c:axId val="35631209"/>
      </c:scatterChart>
      <c:valAx>
        <c:axId val="18872104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31209"/>
        <c:crossesAt val="-100"/>
        <c:crossBetween val="midCat"/>
        <c:dispUnits/>
      </c:valAx>
      <c:valAx>
        <c:axId val="35631209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7210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A!$C$111:$C$123</c:f>
              <c:numCache>
                <c:ptCount val="13"/>
                <c:pt idx="1">
                  <c:v>-67.5</c:v>
                </c:pt>
                <c:pt idx="2">
                  <c:v>-66.25</c:v>
                </c:pt>
                <c:pt idx="3">
                  <c:v>-65.5</c:v>
                </c:pt>
                <c:pt idx="4">
                  <c:v>-66.25</c:v>
                </c:pt>
                <c:pt idx="5">
                  <c:v>-60</c:v>
                </c:pt>
                <c:pt idx="6">
                  <c:v>-64.75</c:v>
                </c:pt>
                <c:pt idx="7">
                  <c:v>-65.25</c:v>
                </c:pt>
                <c:pt idx="8">
                  <c:v>-66</c:v>
                </c:pt>
                <c:pt idx="9">
                  <c:v>-67</c:v>
                </c:pt>
                <c:pt idx="11">
                  <c:v>-66.75</c:v>
                </c:pt>
                <c:pt idx="12">
                  <c:v>-67.5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A!$E$111:$E$123</c:f>
              <c:numCache>
                <c:ptCount val="13"/>
                <c:pt idx="0">
                  <c:v>-69</c:v>
                </c:pt>
                <c:pt idx="1">
                  <c:v>-65</c:v>
                </c:pt>
                <c:pt idx="2">
                  <c:v>-64</c:v>
                </c:pt>
                <c:pt idx="3">
                  <c:v>-63</c:v>
                </c:pt>
                <c:pt idx="4">
                  <c:v>-63</c:v>
                </c:pt>
                <c:pt idx="5">
                  <c:v>-50.5</c:v>
                </c:pt>
                <c:pt idx="6">
                  <c:v>-60.5</c:v>
                </c:pt>
                <c:pt idx="7">
                  <c:v>-61</c:v>
                </c:pt>
                <c:pt idx="8">
                  <c:v>-64.5</c:v>
                </c:pt>
                <c:pt idx="9">
                  <c:v>-64</c:v>
                </c:pt>
                <c:pt idx="10">
                  <c:v>-66.5</c:v>
                </c:pt>
                <c:pt idx="11">
                  <c:v>-66</c:v>
                </c:pt>
                <c:pt idx="12">
                  <c:v>-67.75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A!$G$111:$G$123</c:f>
              <c:numCache>
                <c:ptCount val="13"/>
                <c:pt idx="0">
                  <c:v>-65.5</c:v>
                </c:pt>
                <c:pt idx="1">
                  <c:v>-64.5</c:v>
                </c:pt>
                <c:pt idx="2">
                  <c:v>-58.75</c:v>
                </c:pt>
                <c:pt idx="3">
                  <c:v>-56.75</c:v>
                </c:pt>
                <c:pt idx="4">
                  <c:v>-57.75</c:v>
                </c:pt>
                <c:pt idx="5">
                  <c:v>-39.25</c:v>
                </c:pt>
                <c:pt idx="6">
                  <c:v>-53</c:v>
                </c:pt>
                <c:pt idx="7">
                  <c:v>-55.75</c:v>
                </c:pt>
                <c:pt idx="8">
                  <c:v>-58.25</c:v>
                </c:pt>
                <c:pt idx="9">
                  <c:v>-60.25</c:v>
                </c:pt>
                <c:pt idx="10">
                  <c:v>-62.5</c:v>
                </c:pt>
                <c:pt idx="11">
                  <c:v>-63</c:v>
                </c:pt>
                <c:pt idx="12">
                  <c:v>-64.25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A!$I$111:$I$123</c:f>
              <c:numCache>
                <c:ptCount val="13"/>
                <c:pt idx="0">
                  <c:v>-12.25</c:v>
                </c:pt>
                <c:pt idx="1">
                  <c:v>-9.75</c:v>
                </c:pt>
                <c:pt idx="2">
                  <c:v>-9</c:v>
                </c:pt>
                <c:pt idx="3">
                  <c:v>-7.25</c:v>
                </c:pt>
                <c:pt idx="4">
                  <c:v>-8.75</c:v>
                </c:pt>
                <c:pt idx="5">
                  <c:v>1.75</c:v>
                </c:pt>
                <c:pt idx="6">
                  <c:v>-5.75</c:v>
                </c:pt>
                <c:pt idx="7">
                  <c:v>-6.75</c:v>
                </c:pt>
                <c:pt idx="8">
                  <c:v>-8.5</c:v>
                </c:pt>
                <c:pt idx="9">
                  <c:v>-9.25</c:v>
                </c:pt>
                <c:pt idx="10">
                  <c:v>-11.5</c:v>
                </c:pt>
                <c:pt idx="11">
                  <c:v>-11.25</c:v>
                </c:pt>
                <c:pt idx="12">
                  <c:v>-10.5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A!$K$111:$K$123</c:f>
              <c:numCache>
                <c:ptCount val="13"/>
                <c:pt idx="0">
                  <c:v>-33.25</c:v>
                </c:pt>
                <c:pt idx="1">
                  <c:v>-29.25</c:v>
                </c:pt>
                <c:pt idx="2">
                  <c:v>-29.5</c:v>
                </c:pt>
                <c:pt idx="3">
                  <c:v>-27</c:v>
                </c:pt>
                <c:pt idx="4">
                  <c:v>-27.75</c:v>
                </c:pt>
                <c:pt idx="5">
                  <c:v>-19.25</c:v>
                </c:pt>
                <c:pt idx="6">
                  <c:v>-24.75</c:v>
                </c:pt>
                <c:pt idx="7">
                  <c:v>-26.25</c:v>
                </c:pt>
                <c:pt idx="8">
                  <c:v>-27</c:v>
                </c:pt>
                <c:pt idx="9">
                  <c:v>-28.5</c:v>
                </c:pt>
                <c:pt idx="10">
                  <c:v>-29.75</c:v>
                </c:pt>
                <c:pt idx="11">
                  <c:v>-30</c:v>
                </c:pt>
                <c:pt idx="12">
                  <c:v>-29.25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A!$M$111:$M$123</c:f>
              <c:numCache>
                <c:ptCount val="13"/>
                <c:pt idx="0">
                  <c:v>-68</c:v>
                </c:pt>
                <c:pt idx="1">
                  <c:v>-67.25</c:v>
                </c:pt>
                <c:pt idx="2">
                  <c:v>-66.25</c:v>
                </c:pt>
                <c:pt idx="3">
                  <c:v>-65</c:v>
                </c:pt>
                <c:pt idx="4">
                  <c:v>-66.25</c:v>
                </c:pt>
                <c:pt idx="5">
                  <c:v>-56.25</c:v>
                </c:pt>
                <c:pt idx="6">
                  <c:v>-64</c:v>
                </c:pt>
                <c:pt idx="7">
                  <c:v>-65</c:v>
                </c:pt>
                <c:pt idx="8">
                  <c:v>-66</c:v>
                </c:pt>
                <c:pt idx="9">
                  <c:v>-66.25</c:v>
                </c:pt>
                <c:pt idx="11">
                  <c:v>-68</c:v>
                </c:pt>
                <c:pt idx="12">
                  <c:v>-67</c:v>
                </c:pt>
              </c:numCache>
            </c:numRef>
          </c:yVal>
          <c:smooth val="0"/>
        </c:ser>
        <c:axId val="52245426"/>
        <c:axId val="446787"/>
      </c:scatterChart>
      <c:valAx>
        <c:axId val="52245426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787"/>
        <c:crossesAt val="-100"/>
        <c:crossBetween val="midCat"/>
        <c:dispUnits/>
      </c:valAx>
      <c:valAx>
        <c:axId val="446787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45426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A!$C$124:$C$138</c:f>
              <c:numCache>
                <c:ptCount val="15"/>
                <c:pt idx="2">
                  <c:v>-59.5</c:v>
                </c:pt>
                <c:pt idx="3">
                  <c:v>-58</c:v>
                </c:pt>
                <c:pt idx="4">
                  <c:v>-56.25</c:v>
                </c:pt>
                <c:pt idx="5">
                  <c:v>-55.75</c:v>
                </c:pt>
                <c:pt idx="6">
                  <c:v>-65</c:v>
                </c:pt>
                <c:pt idx="7">
                  <c:v>-66.5</c:v>
                </c:pt>
                <c:pt idx="8">
                  <c:v>-65.5</c:v>
                </c:pt>
                <c:pt idx="9">
                  <c:v>-67.75</c:v>
                </c:pt>
                <c:pt idx="11">
                  <c:v>-67.75</c:v>
                </c:pt>
                <c:pt idx="13">
                  <c:v>-67.25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A!$E$124:$E$138</c:f>
              <c:numCache>
                <c:ptCount val="15"/>
                <c:pt idx="0">
                  <c:v>-71.5</c:v>
                </c:pt>
                <c:pt idx="1">
                  <c:v>-69.75</c:v>
                </c:pt>
                <c:pt idx="2">
                  <c:v>-52.75</c:v>
                </c:pt>
                <c:pt idx="3">
                  <c:v>-50.25</c:v>
                </c:pt>
                <c:pt idx="4">
                  <c:v>-46.75</c:v>
                </c:pt>
                <c:pt idx="5">
                  <c:v>-46.75</c:v>
                </c:pt>
                <c:pt idx="6">
                  <c:v>-62.5</c:v>
                </c:pt>
                <c:pt idx="7">
                  <c:v>-65</c:v>
                </c:pt>
                <c:pt idx="8">
                  <c:v>-64.25</c:v>
                </c:pt>
                <c:pt idx="9">
                  <c:v>-67.25</c:v>
                </c:pt>
                <c:pt idx="10">
                  <c:v>-67.25</c:v>
                </c:pt>
                <c:pt idx="11">
                  <c:v>-67.25</c:v>
                </c:pt>
                <c:pt idx="12">
                  <c:v>-67.75</c:v>
                </c:pt>
                <c:pt idx="13">
                  <c:v>-67.25</c:v>
                </c:pt>
                <c:pt idx="14">
                  <c:v>-71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A!$G$124:$G$138</c:f>
              <c:numCache>
                <c:ptCount val="15"/>
                <c:pt idx="0">
                  <c:v>-67.75</c:v>
                </c:pt>
                <c:pt idx="1">
                  <c:v>-65.5</c:v>
                </c:pt>
                <c:pt idx="2">
                  <c:v>-38.5</c:v>
                </c:pt>
                <c:pt idx="3">
                  <c:v>-37.75</c:v>
                </c:pt>
                <c:pt idx="4">
                  <c:v>-34.5</c:v>
                </c:pt>
                <c:pt idx="5">
                  <c:v>-35.75</c:v>
                </c:pt>
                <c:pt idx="6">
                  <c:v>-59</c:v>
                </c:pt>
                <c:pt idx="7">
                  <c:v>-61.25</c:v>
                </c:pt>
                <c:pt idx="8">
                  <c:v>-60.5</c:v>
                </c:pt>
                <c:pt idx="9">
                  <c:v>-64.75</c:v>
                </c:pt>
                <c:pt idx="10">
                  <c:v>-64.75</c:v>
                </c:pt>
                <c:pt idx="11">
                  <c:v>-65</c:v>
                </c:pt>
                <c:pt idx="12">
                  <c:v>-65.5</c:v>
                </c:pt>
                <c:pt idx="13">
                  <c:v>-65</c:v>
                </c:pt>
                <c:pt idx="14">
                  <c:v>-69.25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A!$I$124:$I$138</c:f>
              <c:numCache>
                <c:ptCount val="15"/>
                <c:pt idx="0">
                  <c:v>-14.25</c:v>
                </c:pt>
                <c:pt idx="1">
                  <c:v>-13.25</c:v>
                </c:pt>
                <c:pt idx="2">
                  <c:v>3.75</c:v>
                </c:pt>
                <c:pt idx="3">
                  <c:v>4</c:v>
                </c:pt>
                <c:pt idx="4">
                  <c:v>5.25</c:v>
                </c:pt>
                <c:pt idx="5">
                  <c:v>4.75</c:v>
                </c:pt>
                <c:pt idx="6">
                  <c:v>-11</c:v>
                </c:pt>
                <c:pt idx="7">
                  <c:v>-12.5</c:v>
                </c:pt>
                <c:pt idx="8">
                  <c:v>-12</c:v>
                </c:pt>
                <c:pt idx="9">
                  <c:v>-16</c:v>
                </c:pt>
                <c:pt idx="10">
                  <c:v>-16</c:v>
                </c:pt>
                <c:pt idx="11">
                  <c:v>-17.75</c:v>
                </c:pt>
                <c:pt idx="12">
                  <c:v>-18</c:v>
                </c:pt>
                <c:pt idx="13">
                  <c:v>-16.25</c:v>
                </c:pt>
                <c:pt idx="14">
                  <c:v>-20.75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A!$K$124:$K$138</c:f>
              <c:numCache>
                <c:ptCount val="15"/>
                <c:pt idx="0">
                  <c:v>-34.25</c:v>
                </c:pt>
                <c:pt idx="1">
                  <c:v>-34</c:v>
                </c:pt>
                <c:pt idx="2">
                  <c:v>-19.5</c:v>
                </c:pt>
                <c:pt idx="3">
                  <c:v>-17.75</c:v>
                </c:pt>
                <c:pt idx="5">
                  <c:v>-14</c:v>
                </c:pt>
                <c:pt idx="6">
                  <c:v>-27</c:v>
                </c:pt>
                <c:pt idx="7">
                  <c:v>-29.75</c:v>
                </c:pt>
                <c:pt idx="8">
                  <c:v>-30</c:v>
                </c:pt>
                <c:pt idx="9">
                  <c:v>-33</c:v>
                </c:pt>
                <c:pt idx="10">
                  <c:v>-33</c:v>
                </c:pt>
                <c:pt idx="11">
                  <c:v>-33.5</c:v>
                </c:pt>
                <c:pt idx="12">
                  <c:v>-34</c:v>
                </c:pt>
                <c:pt idx="13">
                  <c:v>-33.25</c:v>
                </c:pt>
                <c:pt idx="14">
                  <c:v>-36.75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A!$M$124:$M$138</c:f>
              <c:numCache>
                <c:ptCount val="15"/>
                <c:pt idx="2">
                  <c:v>-54.25</c:v>
                </c:pt>
                <c:pt idx="3">
                  <c:v>-53.25</c:v>
                </c:pt>
                <c:pt idx="4">
                  <c:v>-51.25</c:v>
                </c:pt>
                <c:pt idx="5">
                  <c:v>-51.5</c:v>
                </c:pt>
                <c:pt idx="6">
                  <c:v>-64.75</c:v>
                </c:pt>
                <c:pt idx="7">
                  <c:v>-66.25</c:v>
                </c:pt>
                <c:pt idx="8">
                  <c:v>-65.75</c:v>
                </c:pt>
                <c:pt idx="9">
                  <c:v>-68.5</c:v>
                </c:pt>
                <c:pt idx="10">
                  <c:v>-68.5</c:v>
                </c:pt>
                <c:pt idx="12">
                  <c:v>-68.5</c:v>
                </c:pt>
              </c:numCache>
            </c:numRef>
          </c:yVal>
          <c:smooth val="0"/>
        </c:ser>
        <c:axId val="4021084"/>
        <c:axId val="36189757"/>
      </c:scatterChart>
      <c:valAx>
        <c:axId val="4021084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89757"/>
        <c:crossesAt val="-100"/>
        <c:crossBetween val="midCat"/>
        <c:dispUnits/>
      </c:valAx>
      <c:valAx>
        <c:axId val="36189757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108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45"/>
  <sheetViews>
    <sheetView showGridLines="0" tabSelected="1" workbookViewId="0" topLeftCell="A3">
      <pane ySplit="915" topLeftCell="BM1" activePane="bottomLeft" state="split"/>
      <selection pane="topLeft" activeCell="B139" sqref="B139"/>
      <selection pane="bottomLeft" activeCell="N52" sqref="N52"/>
    </sheetView>
  </sheetViews>
  <sheetFormatPr defaultColWidth="9.77734375" defaultRowHeight="15"/>
  <cols>
    <col min="1" max="1" width="9.6640625" style="6" customWidth="1"/>
    <col min="2" max="2" width="0.44140625" style="0" customWidth="1"/>
    <col min="3" max="3" width="6.77734375" style="0" customWidth="1"/>
    <col min="4" max="4" width="0.55078125" style="0" customWidth="1"/>
    <col min="5" max="5" width="6.77734375" style="0" customWidth="1"/>
    <col min="6" max="6" width="0.78125" style="0" customWidth="1"/>
    <col min="7" max="7" width="6.77734375" style="0" customWidth="1"/>
    <col min="8" max="8" width="0.671875" style="0" customWidth="1"/>
    <col min="9" max="9" width="6.77734375" style="0" customWidth="1"/>
    <col min="10" max="10" width="0.671875" style="0" customWidth="1"/>
    <col min="11" max="11" width="6.77734375" style="0" customWidth="1"/>
    <col min="12" max="12" width="0.44140625" style="0" customWidth="1"/>
    <col min="13" max="13" width="6.77734375" style="0" customWidth="1"/>
    <col min="14" max="14" width="4.4453125" style="0" customWidth="1"/>
    <col min="15" max="15" width="14.5546875" style="0" customWidth="1"/>
  </cols>
  <sheetData>
    <row r="1" spans="1:17" ht="15">
      <c r="A1" s="6" t="s">
        <v>0</v>
      </c>
      <c r="N1" s="2" t="s">
        <v>1</v>
      </c>
      <c r="Q1" s="1" t="s">
        <v>13</v>
      </c>
    </row>
    <row r="2" spans="1:17" ht="15">
      <c r="A2" s="7" t="s">
        <v>2</v>
      </c>
      <c r="B2" s="3"/>
      <c r="C2" s="4" t="s">
        <v>3</v>
      </c>
      <c r="D2" s="3"/>
      <c r="E2" s="4" t="s">
        <v>4</v>
      </c>
      <c r="F2" s="3"/>
      <c r="G2" s="4" t="s">
        <v>5</v>
      </c>
      <c r="H2" s="3"/>
      <c r="I2" s="4" t="s">
        <v>6</v>
      </c>
      <c r="J2" s="3"/>
      <c r="K2" s="4" t="s">
        <v>7</v>
      </c>
      <c r="L2" s="3"/>
      <c r="M2" s="4" t="s">
        <v>8</v>
      </c>
      <c r="N2" s="3" t="s">
        <v>9</v>
      </c>
      <c r="P2" s="3" t="s">
        <v>17</v>
      </c>
      <c r="Q2" s="1" t="s">
        <v>14</v>
      </c>
    </row>
    <row r="3" spans="1:17" ht="15">
      <c r="A3" s="8">
        <v>34971</v>
      </c>
      <c r="B3" s="5">
        <v>86.86</v>
      </c>
      <c r="C3">
        <f aca="true" t="shared" si="0" ref="C3:C19">-(B3-23.5)</f>
        <v>-63.36</v>
      </c>
      <c r="D3" s="3">
        <v>92.21</v>
      </c>
      <c r="E3">
        <f aca="true" t="shared" si="1" ref="E3:E19">-(D3-22.25)</f>
        <v>-69.96</v>
      </c>
      <c r="F3" s="3">
        <v>99</v>
      </c>
      <c r="G3">
        <f aca="true" t="shared" si="2" ref="G3:G19">-(F3-21)</f>
        <v>-78</v>
      </c>
      <c r="H3" s="3">
        <v>60.3</v>
      </c>
      <c r="I3">
        <f aca="true" t="shared" si="3" ref="I3:I19">-(H3-22.5)</f>
        <v>-37.8</v>
      </c>
      <c r="J3" s="3">
        <v>59.14</v>
      </c>
      <c r="K3">
        <f aca="true" t="shared" si="4" ref="K3:K19">-(J3-14.5)</f>
        <v>-44.64</v>
      </c>
      <c r="L3" s="3">
        <v>91.42</v>
      </c>
      <c r="M3">
        <f aca="true" t="shared" si="5" ref="M3:M19">-(L3-23.5)</f>
        <v>-67.92</v>
      </c>
      <c r="N3" s="5">
        <v>100</v>
      </c>
      <c r="O3" t="s">
        <v>10</v>
      </c>
      <c r="Q3" s="1" t="s">
        <v>15</v>
      </c>
    </row>
    <row r="4" spans="1:17" ht="15">
      <c r="A4" s="8">
        <v>34984</v>
      </c>
      <c r="B4">
        <v>87.5</v>
      </c>
      <c r="C4">
        <f t="shared" si="0"/>
        <v>-64</v>
      </c>
      <c r="D4">
        <v>72.5</v>
      </c>
      <c r="E4">
        <f t="shared" si="1"/>
        <v>-50.25</v>
      </c>
      <c r="F4">
        <v>58.5</v>
      </c>
      <c r="G4">
        <f t="shared" si="2"/>
        <v>-37.5</v>
      </c>
      <c r="H4">
        <v>15.75</v>
      </c>
      <c r="I4">
        <f t="shared" si="3"/>
        <v>6.75</v>
      </c>
      <c r="J4">
        <v>29</v>
      </c>
      <c r="K4">
        <f t="shared" si="4"/>
        <v>-14.5</v>
      </c>
      <c r="L4">
        <v>77.5</v>
      </c>
      <c r="M4">
        <f t="shared" si="5"/>
        <v>-54</v>
      </c>
      <c r="N4">
        <v>122</v>
      </c>
      <c r="O4" t="s">
        <v>11</v>
      </c>
      <c r="P4" t="s">
        <v>18</v>
      </c>
      <c r="Q4" s="1" t="s">
        <v>16</v>
      </c>
    </row>
    <row r="5" spans="1:16" ht="15">
      <c r="A5" s="8">
        <v>34991</v>
      </c>
      <c r="B5">
        <v>88.5</v>
      </c>
      <c r="C5">
        <f t="shared" si="0"/>
        <v>-65</v>
      </c>
      <c r="D5">
        <v>73.25</v>
      </c>
      <c r="E5">
        <f t="shared" si="1"/>
        <v>-51</v>
      </c>
      <c r="F5">
        <v>62.25</v>
      </c>
      <c r="G5">
        <f t="shared" si="2"/>
        <v>-41.25</v>
      </c>
      <c r="H5">
        <v>18.5</v>
      </c>
      <c r="I5">
        <f t="shared" si="3"/>
        <v>4</v>
      </c>
      <c r="J5">
        <v>29.5</v>
      </c>
      <c r="K5">
        <f t="shared" si="4"/>
        <v>-15</v>
      </c>
      <c r="L5">
        <v>79.75</v>
      </c>
      <c r="M5">
        <f t="shared" si="5"/>
        <v>-56.25</v>
      </c>
      <c r="N5">
        <v>90</v>
      </c>
      <c r="P5" t="s">
        <v>19</v>
      </c>
    </row>
    <row r="6" spans="1:16" ht="15">
      <c r="A6" s="8">
        <v>34998</v>
      </c>
      <c r="B6">
        <v>88.5</v>
      </c>
      <c r="C6">
        <f t="shared" si="0"/>
        <v>-65</v>
      </c>
      <c r="D6">
        <v>73.25</v>
      </c>
      <c r="E6">
        <f t="shared" si="1"/>
        <v>-51</v>
      </c>
      <c r="F6">
        <v>62.25</v>
      </c>
      <c r="G6">
        <f t="shared" si="2"/>
        <v>-41.25</v>
      </c>
      <c r="H6">
        <v>18.25</v>
      </c>
      <c r="I6">
        <f t="shared" si="3"/>
        <v>4.25</v>
      </c>
      <c r="J6">
        <v>29.25</v>
      </c>
      <c r="K6">
        <f t="shared" si="4"/>
        <v>-14.75</v>
      </c>
      <c r="L6">
        <v>79.5</v>
      </c>
      <c r="M6">
        <f t="shared" si="5"/>
        <v>-56</v>
      </c>
      <c r="N6">
        <v>96</v>
      </c>
      <c r="P6" s="9">
        <v>0.4166666666666667</v>
      </c>
    </row>
    <row r="7" spans="1:16" ht="15">
      <c r="A7" s="8">
        <v>35005</v>
      </c>
      <c r="B7">
        <v>88.25</v>
      </c>
      <c r="C7">
        <f t="shared" si="0"/>
        <v>-64.75</v>
      </c>
      <c r="D7">
        <v>73.5</v>
      </c>
      <c r="E7">
        <f t="shared" si="1"/>
        <v>-51.25</v>
      </c>
      <c r="F7">
        <v>62.75</v>
      </c>
      <c r="G7">
        <f t="shared" si="2"/>
        <v>-41.75</v>
      </c>
      <c r="H7">
        <v>18.5</v>
      </c>
      <c r="I7">
        <f t="shared" si="3"/>
        <v>4</v>
      </c>
      <c r="J7">
        <v>30</v>
      </c>
      <c r="K7">
        <f t="shared" si="4"/>
        <v>-15.5</v>
      </c>
      <c r="L7">
        <v>79.5</v>
      </c>
      <c r="M7">
        <f t="shared" si="5"/>
        <v>-56</v>
      </c>
      <c r="N7">
        <v>95</v>
      </c>
      <c r="P7" s="9">
        <v>0.3958333333333333</v>
      </c>
    </row>
    <row r="8" spans="1:16" ht="15">
      <c r="A8" s="8">
        <v>35012</v>
      </c>
      <c r="B8">
        <v>88.5</v>
      </c>
      <c r="C8">
        <f t="shared" si="0"/>
        <v>-65</v>
      </c>
      <c r="D8">
        <v>73.75</v>
      </c>
      <c r="E8">
        <f t="shared" si="1"/>
        <v>-51.5</v>
      </c>
      <c r="F8">
        <v>63</v>
      </c>
      <c r="G8">
        <f t="shared" si="2"/>
        <v>-42</v>
      </c>
      <c r="H8">
        <v>19.25</v>
      </c>
      <c r="I8">
        <f t="shared" si="3"/>
        <v>3.25</v>
      </c>
      <c r="J8">
        <v>29.75</v>
      </c>
      <c r="K8">
        <f t="shared" si="4"/>
        <v>-15.25</v>
      </c>
      <c r="L8">
        <v>79.75</v>
      </c>
      <c r="M8">
        <f t="shared" si="5"/>
        <v>-56.25</v>
      </c>
      <c r="N8">
        <v>96</v>
      </c>
      <c r="P8" t="s">
        <v>20</v>
      </c>
    </row>
    <row r="9" spans="1:16" ht="15">
      <c r="A9" s="8">
        <v>35019</v>
      </c>
      <c r="B9">
        <v>88.5</v>
      </c>
      <c r="C9">
        <f t="shared" si="0"/>
        <v>-65</v>
      </c>
      <c r="D9">
        <v>74.5</v>
      </c>
      <c r="E9">
        <f t="shared" si="1"/>
        <v>-52.25</v>
      </c>
      <c r="F9">
        <v>63.75</v>
      </c>
      <c r="G9">
        <f t="shared" si="2"/>
        <v>-42.75</v>
      </c>
      <c r="H9">
        <v>19.5</v>
      </c>
      <c r="I9">
        <f t="shared" si="3"/>
        <v>3</v>
      </c>
      <c r="J9">
        <v>30.75</v>
      </c>
      <c r="K9">
        <f t="shared" si="4"/>
        <v>-16.25</v>
      </c>
      <c r="L9">
        <v>80</v>
      </c>
      <c r="M9">
        <f t="shared" si="5"/>
        <v>-56.5</v>
      </c>
      <c r="N9">
        <v>91</v>
      </c>
      <c r="P9" s="9">
        <v>0.4166666666666667</v>
      </c>
    </row>
    <row r="10" spans="1:16" ht="15">
      <c r="A10" s="8">
        <v>35025</v>
      </c>
      <c r="B10">
        <v>88.5</v>
      </c>
      <c r="C10">
        <f t="shared" si="0"/>
        <v>-65</v>
      </c>
      <c r="D10">
        <v>74.25</v>
      </c>
      <c r="E10">
        <f t="shared" si="1"/>
        <v>-52</v>
      </c>
      <c r="F10">
        <v>63.25</v>
      </c>
      <c r="G10">
        <f t="shared" si="2"/>
        <v>-42.25</v>
      </c>
      <c r="H10">
        <v>18.75</v>
      </c>
      <c r="I10">
        <f t="shared" si="3"/>
        <v>3.75</v>
      </c>
      <c r="J10">
        <v>30</v>
      </c>
      <c r="K10">
        <f t="shared" si="4"/>
        <v>-15.5</v>
      </c>
      <c r="L10">
        <v>79.5</v>
      </c>
      <c r="M10">
        <f t="shared" si="5"/>
        <v>-56</v>
      </c>
      <c r="N10">
        <v>88</v>
      </c>
      <c r="P10" s="9">
        <v>0.4166666666666667</v>
      </c>
    </row>
    <row r="11" spans="1:16" ht="15">
      <c r="A11" s="8">
        <v>35033</v>
      </c>
      <c r="B11">
        <v>88.75</v>
      </c>
      <c r="C11">
        <f t="shared" si="0"/>
        <v>-65.25</v>
      </c>
      <c r="D11">
        <v>75.5</v>
      </c>
      <c r="E11">
        <f t="shared" si="1"/>
        <v>-53.25</v>
      </c>
      <c r="F11">
        <v>64</v>
      </c>
      <c r="G11">
        <f t="shared" si="2"/>
        <v>-43</v>
      </c>
      <c r="H11">
        <v>19.75</v>
      </c>
      <c r="I11">
        <f t="shared" si="3"/>
        <v>2.75</v>
      </c>
      <c r="J11">
        <v>30.5</v>
      </c>
      <c r="K11">
        <f t="shared" si="4"/>
        <v>-16</v>
      </c>
      <c r="L11">
        <v>80.25</v>
      </c>
      <c r="M11">
        <f t="shared" si="5"/>
        <v>-56.75</v>
      </c>
      <c r="N11">
        <v>88</v>
      </c>
      <c r="P11" t="s">
        <v>21</v>
      </c>
    </row>
    <row r="12" spans="1:16" ht="15">
      <c r="A12" s="8">
        <v>35040</v>
      </c>
      <c r="B12">
        <v>88.75</v>
      </c>
      <c r="C12">
        <f t="shared" si="0"/>
        <v>-65.25</v>
      </c>
      <c r="D12">
        <v>75.25</v>
      </c>
      <c r="E12">
        <f t="shared" si="1"/>
        <v>-53</v>
      </c>
      <c r="F12">
        <v>64</v>
      </c>
      <c r="G12">
        <f t="shared" si="2"/>
        <v>-43</v>
      </c>
      <c r="H12">
        <v>19.75</v>
      </c>
      <c r="I12">
        <f t="shared" si="3"/>
        <v>2.75</v>
      </c>
      <c r="J12">
        <v>31</v>
      </c>
      <c r="K12">
        <f t="shared" si="4"/>
        <v>-16.5</v>
      </c>
      <c r="L12">
        <v>80</v>
      </c>
      <c r="M12">
        <f t="shared" si="5"/>
        <v>-56.5</v>
      </c>
      <c r="N12">
        <v>88</v>
      </c>
      <c r="P12" s="9">
        <v>0.4305555555555556</v>
      </c>
    </row>
    <row r="13" spans="1:16" ht="15">
      <c r="A13" s="8">
        <v>35250</v>
      </c>
      <c r="B13">
        <v>80.25</v>
      </c>
      <c r="C13">
        <f t="shared" si="0"/>
        <v>-56.75</v>
      </c>
      <c r="D13">
        <v>68.5</v>
      </c>
      <c r="E13">
        <f t="shared" si="1"/>
        <v>-46.25</v>
      </c>
      <c r="F13">
        <v>58.25</v>
      </c>
      <c r="G13">
        <f t="shared" si="2"/>
        <v>-37.25</v>
      </c>
      <c r="H13">
        <v>14</v>
      </c>
      <c r="I13">
        <f t="shared" si="3"/>
        <v>8.5</v>
      </c>
      <c r="J13">
        <v>25.5</v>
      </c>
      <c r="K13">
        <f t="shared" si="4"/>
        <v>-11</v>
      </c>
      <c r="L13">
        <v>75.5</v>
      </c>
      <c r="M13">
        <f t="shared" si="5"/>
        <v>-52</v>
      </c>
      <c r="N13">
        <v>222</v>
      </c>
      <c r="P13" t="s">
        <v>22</v>
      </c>
    </row>
    <row r="14" spans="1:16" ht="15">
      <c r="A14" s="8">
        <v>35264</v>
      </c>
      <c r="B14">
        <v>82.5</v>
      </c>
      <c r="C14">
        <f t="shared" si="0"/>
        <v>-59</v>
      </c>
      <c r="D14">
        <v>70.25</v>
      </c>
      <c r="E14">
        <f t="shared" si="1"/>
        <v>-48</v>
      </c>
      <c r="F14">
        <v>61.5</v>
      </c>
      <c r="G14">
        <f t="shared" si="2"/>
        <v>-40.5</v>
      </c>
      <c r="H14">
        <v>15.5</v>
      </c>
      <c r="I14">
        <f t="shared" si="3"/>
        <v>7</v>
      </c>
      <c r="J14">
        <v>27.25</v>
      </c>
      <c r="K14">
        <f t="shared" si="4"/>
        <v>-12.75</v>
      </c>
      <c r="L14">
        <v>77.25</v>
      </c>
      <c r="M14">
        <f t="shared" si="5"/>
        <v>-53.75</v>
      </c>
      <c r="N14">
        <v>169</v>
      </c>
      <c r="P14" s="9" t="s">
        <v>22</v>
      </c>
    </row>
    <row r="15" spans="1:16" ht="15">
      <c r="A15" s="8">
        <v>35271</v>
      </c>
      <c r="B15">
        <v>83</v>
      </c>
      <c r="C15">
        <f t="shared" si="0"/>
        <v>-59.5</v>
      </c>
      <c r="D15">
        <v>70.75</v>
      </c>
      <c r="E15">
        <f t="shared" si="1"/>
        <v>-48.5</v>
      </c>
      <c r="F15">
        <v>62</v>
      </c>
      <c r="G15">
        <f t="shared" si="2"/>
        <v>-41</v>
      </c>
      <c r="H15">
        <v>15.75</v>
      </c>
      <c r="I15">
        <f t="shared" si="3"/>
        <v>6.75</v>
      </c>
      <c r="J15">
        <v>28.5</v>
      </c>
      <c r="K15">
        <f t="shared" si="4"/>
        <v>-14</v>
      </c>
      <c r="L15">
        <v>77.75</v>
      </c>
      <c r="M15">
        <f t="shared" si="5"/>
        <v>-54.25</v>
      </c>
      <c r="N15">
        <v>160</v>
      </c>
      <c r="P15" t="s">
        <v>23</v>
      </c>
    </row>
    <row r="16" spans="1:16" ht="15">
      <c r="A16" s="8">
        <v>35278</v>
      </c>
      <c r="B16">
        <v>82.75</v>
      </c>
      <c r="C16">
        <f t="shared" si="0"/>
        <v>-59.25</v>
      </c>
      <c r="D16">
        <v>70.75</v>
      </c>
      <c r="E16">
        <f t="shared" si="1"/>
        <v>-48.5</v>
      </c>
      <c r="F16">
        <v>61.75</v>
      </c>
      <c r="G16">
        <f t="shared" si="2"/>
        <v>-40.75</v>
      </c>
      <c r="H16">
        <v>15.5</v>
      </c>
      <c r="I16">
        <f t="shared" si="3"/>
        <v>7</v>
      </c>
      <c r="J16">
        <v>28.5</v>
      </c>
      <c r="K16">
        <f t="shared" si="4"/>
        <v>-14</v>
      </c>
      <c r="L16">
        <v>77.75</v>
      </c>
      <c r="M16">
        <f t="shared" si="5"/>
        <v>-54.25</v>
      </c>
      <c r="N16">
        <v>166</v>
      </c>
      <c r="P16" t="s">
        <v>24</v>
      </c>
    </row>
    <row r="17" spans="1:16" ht="15">
      <c r="A17" s="8">
        <v>35285</v>
      </c>
      <c r="B17">
        <v>84.5</v>
      </c>
      <c r="C17">
        <f t="shared" si="0"/>
        <v>-61</v>
      </c>
      <c r="D17">
        <v>72.5</v>
      </c>
      <c r="E17">
        <f t="shared" si="1"/>
        <v>-50.25</v>
      </c>
      <c r="F17">
        <v>63.75</v>
      </c>
      <c r="G17">
        <f t="shared" si="2"/>
        <v>-42.75</v>
      </c>
      <c r="H17">
        <v>16.25</v>
      </c>
      <c r="I17">
        <f t="shared" si="3"/>
        <v>6.25</v>
      </c>
      <c r="J17">
        <v>30</v>
      </c>
      <c r="K17">
        <f t="shared" si="4"/>
        <v>-15.5</v>
      </c>
      <c r="L17">
        <v>79.25</v>
      </c>
      <c r="M17">
        <f t="shared" si="5"/>
        <v>-55.75</v>
      </c>
      <c r="N17">
        <v>132</v>
      </c>
      <c r="P17" t="s">
        <v>25</v>
      </c>
    </row>
    <row r="18" spans="1:16" ht="15">
      <c r="A18" s="8">
        <v>35292</v>
      </c>
      <c r="B18">
        <v>84.5</v>
      </c>
      <c r="C18">
        <f t="shared" si="0"/>
        <v>-61</v>
      </c>
      <c r="D18">
        <v>72.5</v>
      </c>
      <c r="E18">
        <f t="shared" si="1"/>
        <v>-50.25</v>
      </c>
      <c r="F18">
        <v>63.75</v>
      </c>
      <c r="G18">
        <f t="shared" si="2"/>
        <v>-42.75</v>
      </c>
      <c r="H18">
        <v>16.25</v>
      </c>
      <c r="I18">
        <f t="shared" si="3"/>
        <v>6.25</v>
      </c>
      <c r="J18">
        <v>30</v>
      </c>
      <c r="K18">
        <f t="shared" si="4"/>
        <v>-15.5</v>
      </c>
      <c r="L18">
        <v>79.5</v>
      </c>
      <c r="M18">
        <f t="shared" si="5"/>
        <v>-56</v>
      </c>
      <c r="N18">
        <v>131</v>
      </c>
      <c r="P18" t="s">
        <v>26</v>
      </c>
    </row>
    <row r="19" spans="1:16" ht="15">
      <c r="A19" s="8">
        <v>35299</v>
      </c>
      <c r="B19">
        <v>85</v>
      </c>
      <c r="C19">
        <f t="shared" si="0"/>
        <v>-61.5</v>
      </c>
      <c r="D19">
        <v>73.25</v>
      </c>
      <c r="E19">
        <f t="shared" si="1"/>
        <v>-51</v>
      </c>
      <c r="F19">
        <v>64.25</v>
      </c>
      <c r="G19">
        <f t="shared" si="2"/>
        <v>-43.25</v>
      </c>
      <c r="H19">
        <v>16.25</v>
      </c>
      <c r="I19">
        <f t="shared" si="3"/>
        <v>6.25</v>
      </c>
      <c r="J19">
        <v>30.5</v>
      </c>
      <c r="K19">
        <f t="shared" si="4"/>
        <v>-16</v>
      </c>
      <c r="L19">
        <v>80</v>
      </c>
      <c r="M19">
        <f t="shared" si="5"/>
        <v>-56.5</v>
      </c>
      <c r="N19">
        <v>119</v>
      </c>
      <c r="P19" t="s">
        <v>27</v>
      </c>
    </row>
    <row r="20" spans="1:16" ht="15">
      <c r="A20" s="8">
        <v>35306</v>
      </c>
      <c r="B20">
        <v>85.5</v>
      </c>
      <c r="C20">
        <f aca="true" t="shared" si="6" ref="C20:C35">-(B20-23.5)</f>
        <v>-62</v>
      </c>
      <c r="D20">
        <v>72.75</v>
      </c>
      <c r="E20">
        <f aca="true" t="shared" si="7" ref="E20:E35">-(D20-22.25)</f>
        <v>-50.5</v>
      </c>
      <c r="F20">
        <v>64.25</v>
      </c>
      <c r="G20">
        <f aca="true" t="shared" si="8" ref="G20:G35">-(F20-21)</f>
        <v>-43.25</v>
      </c>
      <c r="H20">
        <v>15.75</v>
      </c>
      <c r="I20">
        <f aca="true" t="shared" si="9" ref="I20:I35">-(H20-22.5)</f>
        <v>6.75</v>
      </c>
      <c r="J20">
        <v>30.25</v>
      </c>
      <c r="K20">
        <f aca="true" t="shared" si="10" ref="K20:K35">-(J20-14.5)</f>
        <v>-15.75</v>
      </c>
      <c r="L20">
        <v>80.25</v>
      </c>
      <c r="M20">
        <f aca="true" t="shared" si="11" ref="M20:M35">-(L20-23.5)</f>
        <v>-56.75</v>
      </c>
      <c r="N20">
        <v>119</v>
      </c>
      <c r="P20" t="s">
        <v>22</v>
      </c>
    </row>
    <row r="21" spans="1:16" ht="15">
      <c r="A21" s="8">
        <v>35313</v>
      </c>
      <c r="B21">
        <v>84.75</v>
      </c>
      <c r="C21">
        <f t="shared" si="6"/>
        <v>-61.25</v>
      </c>
      <c r="D21">
        <v>72.5</v>
      </c>
      <c r="E21">
        <f t="shared" si="7"/>
        <v>-50.25</v>
      </c>
      <c r="F21">
        <v>64.25</v>
      </c>
      <c r="G21">
        <f t="shared" si="8"/>
        <v>-43.25</v>
      </c>
      <c r="H21">
        <v>15.5</v>
      </c>
      <c r="I21">
        <f t="shared" si="9"/>
        <v>7</v>
      </c>
      <c r="J21">
        <v>30.25</v>
      </c>
      <c r="K21">
        <f t="shared" si="10"/>
        <v>-15.75</v>
      </c>
      <c r="L21">
        <v>80.5</v>
      </c>
      <c r="M21">
        <f t="shared" si="11"/>
        <v>-57</v>
      </c>
      <c r="N21">
        <v>115</v>
      </c>
      <c r="P21" s="9">
        <v>0.3541666666666667</v>
      </c>
    </row>
    <row r="22" spans="1:16" ht="15">
      <c r="A22" s="8">
        <v>35320</v>
      </c>
      <c r="B22">
        <v>85.5</v>
      </c>
      <c r="C22">
        <f t="shared" si="6"/>
        <v>-62</v>
      </c>
      <c r="D22">
        <v>74</v>
      </c>
      <c r="E22">
        <f t="shared" si="7"/>
        <v>-51.75</v>
      </c>
      <c r="F22">
        <v>64.5</v>
      </c>
      <c r="G22">
        <f t="shared" si="8"/>
        <v>-43.5</v>
      </c>
      <c r="H22">
        <v>15.5</v>
      </c>
      <c r="I22">
        <f t="shared" si="9"/>
        <v>7</v>
      </c>
      <c r="J22">
        <v>30.5</v>
      </c>
      <c r="K22">
        <f t="shared" si="10"/>
        <v>-16</v>
      </c>
      <c r="L22">
        <v>81.5</v>
      </c>
      <c r="M22">
        <f t="shared" si="11"/>
        <v>-58</v>
      </c>
      <c r="N22">
        <v>115</v>
      </c>
      <c r="P22" t="s">
        <v>26</v>
      </c>
    </row>
    <row r="23" spans="1:16" ht="15">
      <c r="A23" s="8">
        <v>35327</v>
      </c>
      <c r="B23">
        <v>85</v>
      </c>
      <c r="C23">
        <f t="shared" si="6"/>
        <v>-61.5</v>
      </c>
      <c r="D23">
        <v>73</v>
      </c>
      <c r="E23">
        <f t="shared" si="7"/>
        <v>-50.75</v>
      </c>
      <c r="F23">
        <v>65.5</v>
      </c>
      <c r="G23">
        <f t="shared" si="8"/>
        <v>-44.5</v>
      </c>
      <c r="H23">
        <v>15.5</v>
      </c>
      <c r="I23">
        <f t="shared" si="9"/>
        <v>7</v>
      </c>
      <c r="J23">
        <v>30</v>
      </c>
      <c r="K23">
        <f t="shared" si="10"/>
        <v>-15.5</v>
      </c>
      <c r="L23">
        <v>80</v>
      </c>
      <c r="M23">
        <f t="shared" si="11"/>
        <v>-56.5</v>
      </c>
      <c r="N23">
        <v>119</v>
      </c>
      <c r="P23" s="9">
        <v>0.5104166666666666</v>
      </c>
    </row>
    <row r="24" spans="1:16" ht="15">
      <c r="A24" s="8">
        <v>35334</v>
      </c>
      <c r="B24">
        <v>85.25</v>
      </c>
      <c r="C24">
        <f t="shared" si="6"/>
        <v>-61.75</v>
      </c>
      <c r="D24">
        <v>73.75</v>
      </c>
      <c r="E24">
        <f t="shared" si="7"/>
        <v>-51.5</v>
      </c>
      <c r="F24">
        <v>65</v>
      </c>
      <c r="G24">
        <f t="shared" si="8"/>
        <v>-44</v>
      </c>
      <c r="H24">
        <v>15.25</v>
      </c>
      <c r="I24">
        <f t="shared" si="9"/>
        <v>7.25</v>
      </c>
      <c r="J24">
        <v>30.25</v>
      </c>
      <c r="K24">
        <f t="shared" si="10"/>
        <v>-15.75</v>
      </c>
      <c r="L24">
        <v>80.75</v>
      </c>
      <c r="M24">
        <f t="shared" si="11"/>
        <v>-57.25</v>
      </c>
      <c r="N24">
        <v>117</v>
      </c>
      <c r="P24" s="9">
        <v>0.4444444444444444</v>
      </c>
    </row>
    <row r="25" spans="1:16" ht="15">
      <c r="A25" s="8">
        <v>35341</v>
      </c>
      <c r="B25">
        <v>86.75</v>
      </c>
      <c r="C25">
        <f t="shared" si="6"/>
        <v>-63.25</v>
      </c>
      <c r="D25">
        <v>74.75</v>
      </c>
      <c r="E25">
        <f t="shared" si="7"/>
        <v>-52.5</v>
      </c>
      <c r="F25">
        <v>66.25</v>
      </c>
      <c r="G25">
        <f t="shared" si="8"/>
        <v>-45.25</v>
      </c>
      <c r="H25">
        <v>15.75</v>
      </c>
      <c r="I25">
        <f t="shared" si="9"/>
        <v>6.75</v>
      </c>
      <c r="J25">
        <v>31</v>
      </c>
      <c r="K25">
        <f t="shared" si="10"/>
        <v>-16.5</v>
      </c>
      <c r="L25">
        <v>81.25</v>
      </c>
      <c r="M25">
        <f t="shared" si="11"/>
        <v>-57.75</v>
      </c>
      <c r="N25">
        <v>91</v>
      </c>
      <c r="P25" s="9">
        <v>0.4166666666666667</v>
      </c>
    </row>
    <row r="26" spans="1:16" ht="15">
      <c r="A26" s="8">
        <v>35348</v>
      </c>
      <c r="B26">
        <v>87.75</v>
      </c>
      <c r="C26">
        <f t="shared" si="6"/>
        <v>-64.25</v>
      </c>
      <c r="D26">
        <v>75.5</v>
      </c>
      <c r="E26">
        <f t="shared" si="7"/>
        <v>-53.25</v>
      </c>
      <c r="F26">
        <v>67.25</v>
      </c>
      <c r="G26">
        <f t="shared" si="8"/>
        <v>-46.25</v>
      </c>
      <c r="H26">
        <v>16.5</v>
      </c>
      <c r="I26">
        <f t="shared" si="9"/>
        <v>6</v>
      </c>
      <c r="J26">
        <v>32.5</v>
      </c>
      <c r="K26">
        <f t="shared" si="10"/>
        <v>-18</v>
      </c>
      <c r="L26">
        <v>82.25</v>
      </c>
      <c r="M26">
        <f t="shared" si="11"/>
        <v>-58.75</v>
      </c>
      <c r="N26">
        <v>76</v>
      </c>
      <c r="P26" s="9">
        <v>0.40277777777777773</v>
      </c>
    </row>
    <row r="27" spans="1:16" ht="15">
      <c r="A27" s="8">
        <v>35355</v>
      </c>
      <c r="B27">
        <v>88.75</v>
      </c>
      <c r="C27">
        <f t="shared" si="6"/>
        <v>-65.25</v>
      </c>
      <c r="D27">
        <v>76.75</v>
      </c>
      <c r="E27">
        <f t="shared" si="7"/>
        <v>-54.5</v>
      </c>
      <c r="F27">
        <v>68.5</v>
      </c>
      <c r="G27">
        <f t="shared" si="8"/>
        <v>-47.5</v>
      </c>
      <c r="H27">
        <v>16.5</v>
      </c>
      <c r="I27">
        <f t="shared" si="9"/>
        <v>6</v>
      </c>
      <c r="J27">
        <v>32.75</v>
      </c>
      <c r="K27">
        <f t="shared" si="10"/>
        <v>-18.25</v>
      </c>
      <c r="L27">
        <v>81.5</v>
      </c>
      <c r="M27">
        <f t="shared" si="11"/>
        <v>-58</v>
      </c>
      <c r="N27">
        <v>73</v>
      </c>
      <c r="P27" s="9">
        <v>0.4270833333333333</v>
      </c>
    </row>
    <row r="28" spans="1:16" ht="15">
      <c r="A28" s="8">
        <v>35362</v>
      </c>
      <c r="B28">
        <v>88.25</v>
      </c>
      <c r="C28">
        <f t="shared" si="6"/>
        <v>-64.75</v>
      </c>
      <c r="D28">
        <v>77</v>
      </c>
      <c r="E28">
        <f t="shared" si="7"/>
        <v>-54.75</v>
      </c>
      <c r="F28">
        <v>68.25</v>
      </c>
      <c r="G28">
        <f t="shared" si="8"/>
        <v>-47.25</v>
      </c>
      <c r="H28">
        <v>16.5</v>
      </c>
      <c r="I28">
        <f t="shared" si="9"/>
        <v>6</v>
      </c>
      <c r="J28">
        <v>33</v>
      </c>
      <c r="K28">
        <f t="shared" si="10"/>
        <v>-18.5</v>
      </c>
      <c r="L28">
        <v>83.75</v>
      </c>
      <c r="M28">
        <f t="shared" si="11"/>
        <v>-60.25</v>
      </c>
      <c r="N28">
        <v>76</v>
      </c>
      <c r="P28" s="9">
        <v>0.40972222222222227</v>
      </c>
    </row>
    <row r="29" spans="1:16" ht="15">
      <c r="A29" s="8">
        <v>35499</v>
      </c>
      <c r="B29" t="s">
        <v>12</v>
      </c>
      <c r="D29">
        <v>79.5</v>
      </c>
      <c r="E29">
        <f t="shared" si="7"/>
        <v>-57.25</v>
      </c>
      <c r="F29">
        <v>71</v>
      </c>
      <c r="G29">
        <f t="shared" si="8"/>
        <v>-50</v>
      </c>
      <c r="H29">
        <v>18.25</v>
      </c>
      <c r="I29">
        <f t="shared" si="9"/>
        <v>4.25</v>
      </c>
      <c r="J29">
        <v>33.5</v>
      </c>
      <c r="K29">
        <f t="shared" si="10"/>
        <v>-19</v>
      </c>
      <c r="L29">
        <v>84</v>
      </c>
      <c r="M29">
        <f t="shared" si="11"/>
        <v>-60.5</v>
      </c>
      <c r="N29">
        <v>79</v>
      </c>
      <c r="P29" s="9">
        <v>0.4583333333333333</v>
      </c>
    </row>
    <row r="30" spans="1:16" ht="15">
      <c r="A30" s="8">
        <v>35542</v>
      </c>
      <c r="B30">
        <v>89</v>
      </c>
      <c r="C30">
        <f t="shared" si="6"/>
        <v>-65.5</v>
      </c>
      <c r="D30">
        <v>78.5</v>
      </c>
      <c r="E30">
        <f t="shared" si="7"/>
        <v>-56.25</v>
      </c>
      <c r="F30">
        <v>70.5</v>
      </c>
      <c r="G30">
        <f t="shared" si="8"/>
        <v>-49.5</v>
      </c>
      <c r="H30">
        <v>19.5</v>
      </c>
      <c r="I30">
        <f t="shared" si="9"/>
        <v>3</v>
      </c>
      <c r="J30">
        <v>33.5</v>
      </c>
      <c r="K30">
        <f t="shared" si="10"/>
        <v>-19</v>
      </c>
      <c r="L30">
        <v>84.5</v>
      </c>
      <c r="M30">
        <f t="shared" si="11"/>
        <v>-61</v>
      </c>
      <c r="N30">
        <v>71</v>
      </c>
      <c r="P30" s="9">
        <v>0.625</v>
      </c>
    </row>
    <row r="31" spans="1:16" ht="15">
      <c r="A31" s="8">
        <v>35559</v>
      </c>
      <c r="B31">
        <v>87</v>
      </c>
      <c r="C31">
        <f t="shared" si="6"/>
        <v>-63.5</v>
      </c>
      <c r="D31">
        <v>76.5</v>
      </c>
      <c r="E31">
        <f t="shared" si="7"/>
        <v>-54.25</v>
      </c>
      <c r="F31">
        <v>67.75</v>
      </c>
      <c r="G31">
        <f t="shared" si="8"/>
        <v>-46.75</v>
      </c>
      <c r="H31">
        <v>17.25</v>
      </c>
      <c r="I31">
        <f t="shared" si="9"/>
        <v>5.25</v>
      </c>
      <c r="J31">
        <v>33.25</v>
      </c>
      <c r="K31">
        <f t="shared" si="10"/>
        <v>-18.75</v>
      </c>
      <c r="L31">
        <v>82.75</v>
      </c>
      <c r="M31">
        <f t="shared" si="11"/>
        <v>-59.25</v>
      </c>
      <c r="N31">
        <v>111</v>
      </c>
      <c r="P31" t="s">
        <v>28</v>
      </c>
    </row>
    <row r="32" spans="1:16" ht="15">
      <c r="A32" s="8">
        <v>35563</v>
      </c>
      <c r="B32">
        <v>84</v>
      </c>
      <c r="C32">
        <f t="shared" si="6"/>
        <v>-60.5</v>
      </c>
      <c r="D32">
        <v>72.75</v>
      </c>
      <c r="E32">
        <f t="shared" si="7"/>
        <v>-50.5</v>
      </c>
      <c r="F32">
        <v>63.75</v>
      </c>
      <c r="G32">
        <f t="shared" si="8"/>
        <v>-42.75</v>
      </c>
      <c r="H32">
        <v>15.5</v>
      </c>
      <c r="I32">
        <f t="shared" si="9"/>
        <v>7</v>
      </c>
      <c r="J32">
        <v>29.5</v>
      </c>
      <c r="K32">
        <f t="shared" si="10"/>
        <v>-15</v>
      </c>
      <c r="L32">
        <v>79</v>
      </c>
      <c r="M32">
        <f t="shared" si="11"/>
        <v>-55.5</v>
      </c>
      <c r="N32">
        <v>160</v>
      </c>
      <c r="P32" s="9">
        <v>0.3854166666666667</v>
      </c>
    </row>
    <row r="33" spans="1:16" ht="15">
      <c r="A33" s="8">
        <v>35587</v>
      </c>
      <c r="B33">
        <v>80.75</v>
      </c>
      <c r="C33">
        <f t="shared" si="6"/>
        <v>-57.25</v>
      </c>
      <c r="D33">
        <v>69</v>
      </c>
      <c r="E33">
        <f t="shared" si="7"/>
        <v>-46.75</v>
      </c>
      <c r="F33">
        <v>60</v>
      </c>
      <c r="G33">
        <f t="shared" si="8"/>
        <v>-39</v>
      </c>
      <c r="H33">
        <v>14.5</v>
      </c>
      <c r="I33">
        <f t="shared" si="9"/>
        <v>8</v>
      </c>
      <c r="J33">
        <v>26.25</v>
      </c>
      <c r="K33">
        <f t="shared" si="10"/>
        <v>-11.75</v>
      </c>
      <c r="L33">
        <v>76.75</v>
      </c>
      <c r="M33">
        <f t="shared" si="11"/>
        <v>-53.25</v>
      </c>
      <c r="N33">
        <v>205</v>
      </c>
      <c r="P33" t="s">
        <v>29</v>
      </c>
    </row>
    <row r="34" spans="1:16" ht="15">
      <c r="A34" s="8">
        <v>35605</v>
      </c>
      <c r="B34">
        <v>80.5</v>
      </c>
      <c r="C34">
        <f t="shared" si="6"/>
        <v>-57</v>
      </c>
      <c r="D34">
        <v>69.75</v>
      </c>
      <c r="E34">
        <f t="shared" si="7"/>
        <v>-47.5</v>
      </c>
      <c r="F34">
        <v>59.75</v>
      </c>
      <c r="G34">
        <f t="shared" si="8"/>
        <v>-38.75</v>
      </c>
      <c r="H34">
        <v>13.25</v>
      </c>
      <c r="I34">
        <f t="shared" si="9"/>
        <v>9.25</v>
      </c>
      <c r="J34">
        <v>26.5</v>
      </c>
      <c r="K34">
        <f t="shared" si="10"/>
        <v>-12</v>
      </c>
      <c r="L34">
        <v>76.75</v>
      </c>
      <c r="M34">
        <f t="shared" si="11"/>
        <v>-53.25</v>
      </c>
      <c r="N34">
        <v>206</v>
      </c>
      <c r="P34" s="9">
        <v>0.75</v>
      </c>
    </row>
    <row r="35" spans="1:16" ht="15">
      <c r="A35" s="8">
        <v>35614</v>
      </c>
      <c r="B35">
        <v>83.5</v>
      </c>
      <c r="C35">
        <f t="shared" si="6"/>
        <v>-60</v>
      </c>
      <c r="D35">
        <v>72.75</v>
      </c>
      <c r="E35">
        <f t="shared" si="7"/>
        <v>-50.5</v>
      </c>
      <c r="F35">
        <v>63.5</v>
      </c>
      <c r="G35">
        <f t="shared" si="8"/>
        <v>-42.5</v>
      </c>
      <c r="H35">
        <v>14.5</v>
      </c>
      <c r="I35">
        <f t="shared" si="9"/>
        <v>8</v>
      </c>
      <c r="J35">
        <v>28</v>
      </c>
      <c r="K35">
        <f t="shared" si="10"/>
        <v>-13.5</v>
      </c>
      <c r="L35">
        <v>79.5</v>
      </c>
      <c r="M35">
        <f t="shared" si="11"/>
        <v>-56</v>
      </c>
      <c r="N35">
        <v>155</v>
      </c>
      <c r="P35" s="9">
        <v>0.6597222222222222</v>
      </c>
    </row>
    <row r="36" spans="1:16" ht="15">
      <c r="A36" s="8">
        <v>35621</v>
      </c>
      <c r="B36">
        <v>84.5</v>
      </c>
      <c r="C36">
        <f aca="true" t="shared" si="12" ref="C36:C109">-(B36-23.5)</f>
        <v>-61</v>
      </c>
      <c r="D36">
        <v>73.5</v>
      </c>
      <c r="E36">
        <f aca="true" t="shared" si="13" ref="E36:E109">-(D36-22.25)</f>
        <v>-51.25</v>
      </c>
      <c r="F36">
        <v>64.75</v>
      </c>
      <c r="G36">
        <f aca="true" t="shared" si="14" ref="G36:G109">-(F36-21)</f>
        <v>-43.75</v>
      </c>
      <c r="H36">
        <v>15</v>
      </c>
      <c r="I36">
        <f aca="true" t="shared" si="15" ref="I36:I109">-(H36-22.5)</f>
        <v>7.5</v>
      </c>
      <c r="J36">
        <v>29.25</v>
      </c>
      <c r="K36">
        <f aca="true" t="shared" si="16" ref="K36:K109">-(J36-14.5)</f>
        <v>-14.75</v>
      </c>
      <c r="L36">
        <v>80.75</v>
      </c>
      <c r="M36">
        <f aca="true" t="shared" si="17" ref="M36:M109">-(L36-23.5)</f>
        <v>-57.25</v>
      </c>
      <c r="N36">
        <v>139</v>
      </c>
      <c r="P36" t="s">
        <v>30</v>
      </c>
    </row>
    <row r="37" spans="1:14" ht="15">
      <c r="A37" s="8">
        <v>35629</v>
      </c>
      <c r="B37">
        <v>84</v>
      </c>
      <c r="C37">
        <f t="shared" si="12"/>
        <v>-60.5</v>
      </c>
      <c r="D37">
        <v>73</v>
      </c>
      <c r="E37">
        <f t="shared" si="13"/>
        <v>-50.75</v>
      </c>
      <c r="F37">
        <v>64.25</v>
      </c>
      <c r="G37">
        <f t="shared" si="14"/>
        <v>-43.25</v>
      </c>
      <c r="H37">
        <v>14.5</v>
      </c>
      <c r="I37">
        <f t="shared" si="15"/>
        <v>8</v>
      </c>
      <c r="J37">
        <v>28.75</v>
      </c>
      <c r="K37">
        <f t="shared" si="16"/>
        <v>-14.25</v>
      </c>
      <c r="L37">
        <v>80</v>
      </c>
      <c r="M37">
        <f t="shared" si="17"/>
        <v>-56.5</v>
      </c>
      <c r="N37">
        <v>152</v>
      </c>
    </row>
    <row r="38" spans="1:16" ht="15">
      <c r="A38" s="8">
        <v>35635</v>
      </c>
      <c r="B38">
        <v>82.5</v>
      </c>
      <c r="C38">
        <f t="shared" si="12"/>
        <v>-59</v>
      </c>
      <c r="D38">
        <v>71.5</v>
      </c>
      <c r="E38">
        <f t="shared" si="13"/>
        <v>-49.25</v>
      </c>
      <c r="F38">
        <v>62.75</v>
      </c>
      <c r="G38">
        <f t="shared" si="14"/>
        <v>-41.75</v>
      </c>
      <c r="H38">
        <v>13.75</v>
      </c>
      <c r="I38">
        <f t="shared" si="15"/>
        <v>8.75</v>
      </c>
      <c r="J38">
        <v>28</v>
      </c>
      <c r="K38">
        <f t="shared" si="16"/>
        <v>-13.5</v>
      </c>
      <c r="L38">
        <v>78.5</v>
      </c>
      <c r="M38">
        <f t="shared" si="17"/>
        <v>-55</v>
      </c>
      <c r="N38">
        <f>53+32+18+35</f>
        <v>138</v>
      </c>
      <c r="P38" s="9">
        <v>0.71875</v>
      </c>
    </row>
    <row r="39" spans="1:16" ht="15">
      <c r="A39" s="8">
        <v>35666</v>
      </c>
      <c r="B39">
        <v>87.25</v>
      </c>
      <c r="C39">
        <f t="shared" si="12"/>
        <v>-63.75</v>
      </c>
      <c r="D39">
        <v>76.5</v>
      </c>
      <c r="E39">
        <f t="shared" si="13"/>
        <v>-54.25</v>
      </c>
      <c r="F39">
        <v>68.25</v>
      </c>
      <c r="G39">
        <f t="shared" si="14"/>
        <v>-47.25</v>
      </c>
      <c r="H39">
        <v>15.25</v>
      </c>
      <c r="I39">
        <f t="shared" si="15"/>
        <v>7.25</v>
      </c>
      <c r="J39">
        <v>30.5</v>
      </c>
      <c r="K39">
        <f t="shared" si="16"/>
        <v>-16</v>
      </c>
      <c r="L39">
        <v>83</v>
      </c>
      <c r="M39">
        <f t="shared" si="17"/>
        <v>-59.5</v>
      </c>
      <c r="N39">
        <f>57+15+7+12</f>
        <v>91</v>
      </c>
      <c r="P39" t="s">
        <v>31</v>
      </c>
    </row>
    <row r="40" spans="1:16" ht="15">
      <c r="A40" s="8">
        <v>35681</v>
      </c>
      <c r="B40">
        <v>87.5</v>
      </c>
      <c r="C40">
        <f t="shared" si="12"/>
        <v>-64</v>
      </c>
      <c r="D40">
        <v>76.25</v>
      </c>
      <c r="E40">
        <f t="shared" si="13"/>
        <v>-54</v>
      </c>
      <c r="F40">
        <v>68.75</v>
      </c>
      <c r="G40">
        <f t="shared" si="14"/>
        <v>-47.75</v>
      </c>
      <c r="H40">
        <v>15.25</v>
      </c>
      <c r="I40">
        <f t="shared" si="15"/>
        <v>7.25</v>
      </c>
      <c r="J40">
        <v>31.25</v>
      </c>
      <c r="K40">
        <f t="shared" si="16"/>
        <v>-16.75</v>
      </c>
      <c r="L40">
        <v>83.75</v>
      </c>
      <c r="M40">
        <f t="shared" si="17"/>
        <v>-60.25</v>
      </c>
      <c r="N40">
        <f>56+9+6+13</f>
        <v>84</v>
      </c>
      <c r="P40" t="s">
        <v>32</v>
      </c>
    </row>
    <row r="41" spans="1:16" ht="15">
      <c r="A41" s="8">
        <v>35690</v>
      </c>
      <c r="B41">
        <v>87.25</v>
      </c>
      <c r="C41">
        <f t="shared" si="12"/>
        <v>-63.75</v>
      </c>
      <c r="D41">
        <v>76</v>
      </c>
      <c r="E41">
        <f t="shared" si="13"/>
        <v>-53.75</v>
      </c>
      <c r="F41">
        <v>69</v>
      </c>
      <c r="G41">
        <f t="shared" si="14"/>
        <v>-48</v>
      </c>
      <c r="H41">
        <v>15</v>
      </c>
      <c r="I41">
        <f t="shared" si="15"/>
        <v>7.5</v>
      </c>
      <c r="J41">
        <v>31.75</v>
      </c>
      <c r="K41">
        <f t="shared" si="16"/>
        <v>-17.25</v>
      </c>
      <c r="L41">
        <v>83.75</v>
      </c>
      <c r="M41">
        <f t="shared" si="17"/>
        <v>-60.25</v>
      </c>
      <c r="N41">
        <f>52+7+7+11</f>
        <v>77</v>
      </c>
      <c r="P41" t="s">
        <v>27</v>
      </c>
    </row>
    <row r="42" spans="1:16" ht="15">
      <c r="A42" s="8">
        <v>35696</v>
      </c>
      <c r="B42">
        <v>87.75</v>
      </c>
      <c r="C42">
        <f t="shared" si="12"/>
        <v>-64.25</v>
      </c>
      <c r="D42">
        <v>76.75</v>
      </c>
      <c r="E42">
        <f t="shared" si="13"/>
        <v>-54.5</v>
      </c>
      <c r="F42">
        <v>69.5</v>
      </c>
      <c r="G42">
        <f t="shared" si="14"/>
        <v>-48.5</v>
      </c>
      <c r="H42">
        <v>15</v>
      </c>
      <c r="I42">
        <f t="shared" si="15"/>
        <v>7.5</v>
      </c>
      <c r="J42">
        <v>32</v>
      </c>
      <c r="K42">
        <f t="shared" si="16"/>
        <v>-17.5</v>
      </c>
      <c r="L42">
        <v>84</v>
      </c>
      <c r="M42">
        <f t="shared" si="17"/>
        <v>-60.5</v>
      </c>
      <c r="N42">
        <f>53+4+7+9</f>
        <v>73</v>
      </c>
      <c r="P42" t="s">
        <v>33</v>
      </c>
    </row>
    <row r="43" spans="1:16" ht="15">
      <c r="A43" s="8">
        <v>35706</v>
      </c>
      <c r="B43">
        <v>88.5</v>
      </c>
      <c r="C43">
        <f t="shared" si="12"/>
        <v>-65</v>
      </c>
      <c r="D43">
        <v>77.5</v>
      </c>
      <c r="E43">
        <f t="shared" si="13"/>
        <v>-55.25</v>
      </c>
      <c r="F43">
        <v>70</v>
      </c>
      <c r="G43">
        <f t="shared" si="14"/>
        <v>-49</v>
      </c>
      <c r="H43">
        <v>15</v>
      </c>
      <c r="I43">
        <f t="shared" si="15"/>
        <v>7.5</v>
      </c>
      <c r="J43">
        <v>32.5</v>
      </c>
      <c r="K43">
        <f t="shared" si="16"/>
        <v>-18</v>
      </c>
      <c r="L43">
        <v>85</v>
      </c>
      <c r="M43">
        <f t="shared" si="17"/>
        <v>-61.5</v>
      </c>
      <c r="N43">
        <f>49+3+6+8</f>
        <v>66</v>
      </c>
      <c r="P43" s="9">
        <v>0.3958333333333333</v>
      </c>
    </row>
    <row r="44" spans="1:16" ht="15">
      <c r="A44" s="8">
        <v>35711</v>
      </c>
      <c r="B44">
        <v>88.75</v>
      </c>
      <c r="C44">
        <f t="shared" si="12"/>
        <v>-65.25</v>
      </c>
      <c r="D44">
        <v>77.5</v>
      </c>
      <c r="E44">
        <f t="shared" si="13"/>
        <v>-55.25</v>
      </c>
      <c r="F44">
        <v>70.25</v>
      </c>
      <c r="G44">
        <f t="shared" si="14"/>
        <v>-49.25</v>
      </c>
      <c r="H44">
        <v>15.25</v>
      </c>
      <c r="I44">
        <f t="shared" si="15"/>
        <v>7.25</v>
      </c>
      <c r="J44">
        <v>32.5</v>
      </c>
      <c r="K44">
        <f t="shared" si="16"/>
        <v>-18</v>
      </c>
      <c r="L44">
        <v>84.75</v>
      </c>
      <c r="M44">
        <f t="shared" si="17"/>
        <v>-61.25</v>
      </c>
      <c r="N44">
        <f>47+1+5+8</f>
        <v>61</v>
      </c>
      <c r="P44" s="9">
        <v>0.4166666666666667</v>
      </c>
    </row>
    <row r="45" spans="1:16" ht="15">
      <c r="A45" s="8">
        <v>35735</v>
      </c>
      <c r="B45">
        <v>89</v>
      </c>
      <c r="C45">
        <f t="shared" si="12"/>
        <v>-65.5</v>
      </c>
      <c r="D45">
        <v>78.75</v>
      </c>
      <c r="E45">
        <f t="shared" si="13"/>
        <v>-56.5</v>
      </c>
      <c r="F45">
        <v>71.5</v>
      </c>
      <c r="G45">
        <f t="shared" si="14"/>
        <v>-50.5</v>
      </c>
      <c r="H45">
        <v>15.75</v>
      </c>
      <c r="I45">
        <f t="shared" si="15"/>
        <v>6.75</v>
      </c>
      <c r="J45">
        <v>33.25</v>
      </c>
      <c r="K45">
        <f t="shared" si="16"/>
        <v>-18.75</v>
      </c>
      <c r="L45">
        <v>85.5</v>
      </c>
      <c r="M45">
        <f t="shared" si="17"/>
        <v>-62</v>
      </c>
      <c r="N45">
        <f>48+4+5</f>
        <v>57</v>
      </c>
      <c r="P45" s="9">
        <v>0.4166666666666667</v>
      </c>
    </row>
    <row r="46" spans="1:16" ht="15">
      <c r="A46" s="8">
        <v>35963</v>
      </c>
      <c r="B46">
        <v>78.25</v>
      </c>
      <c r="C46">
        <f t="shared" si="12"/>
        <v>-54.75</v>
      </c>
      <c r="D46">
        <v>68</v>
      </c>
      <c r="E46">
        <f t="shared" si="13"/>
        <v>-45.75</v>
      </c>
      <c r="F46">
        <v>57</v>
      </c>
      <c r="G46">
        <f t="shared" si="14"/>
        <v>-36</v>
      </c>
      <c r="H46">
        <v>15.5</v>
      </c>
      <c r="I46">
        <f t="shared" si="15"/>
        <v>7</v>
      </c>
      <c r="J46">
        <v>27</v>
      </c>
      <c r="K46">
        <f t="shared" si="16"/>
        <v>-12.5</v>
      </c>
      <c r="L46">
        <v>74.75</v>
      </c>
      <c r="M46">
        <f t="shared" si="17"/>
        <v>-51.25</v>
      </c>
      <c r="N46">
        <f>55+171+39+42</f>
        <v>307</v>
      </c>
      <c r="P46" t="s">
        <v>34</v>
      </c>
    </row>
    <row r="47" spans="1:16" ht="15">
      <c r="A47" s="6">
        <v>35977</v>
      </c>
      <c r="B47">
        <v>76.25</v>
      </c>
      <c r="C47">
        <f t="shared" si="12"/>
        <v>-52.75</v>
      </c>
      <c r="D47">
        <v>62</v>
      </c>
      <c r="E47">
        <f t="shared" si="13"/>
        <v>-39.75</v>
      </c>
      <c r="F47">
        <v>47.25</v>
      </c>
      <c r="G47">
        <f t="shared" si="14"/>
        <v>-26.25</v>
      </c>
      <c r="H47">
        <v>11.25</v>
      </c>
      <c r="I47">
        <f t="shared" si="15"/>
        <v>11.25</v>
      </c>
      <c r="J47">
        <v>21.75</v>
      </c>
      <c r="K47">
        <f t="shared" si="16"/>
        <v>-7.25</v>
      </c>
      <c r="L47">
        <v>71</v>
      </c>
      <c r="M47">
        <f t="shared" si="17"/>
        <v>-47.5</v>
      </c>
      <c r="N47">
        <f>40+55+214+53</f>
        <v>362</v>
      </c>
      <c r="P47" t="s">
        <v>22</v>
      </c>
    </row>
    <row r="48" spans="1:16" ht="15">
      <c r="A48" s="6">
        <v>35987</v>
      </c>
      <c r="B48">
        <v>68.5</v>
      </c>
      <c r="C48">
        <f t="shared" si="12"/>
        <v>-45</v>
      </c>
      <c r="D48">
        <v>56.75</v>
      </c>
      <c r="E48">
        <f t="shared" si="13"/>
        <v>-34.5</v>
      </c>
      <c r="F48">
        <v>43.75</v>
      </c>
      <c r="G48">
        <f t="shared" si="14"/>
        <v>-22.75</v>
      </c>
      <c r="H48">
        <v>9.5</v>
      </c>
      <c r="I48">
        <f t="shared" si="15"/>
        <v>13</v>
      </c>
      <c r="J48">
        <v>19.25</v>
      </c>
      <c r="K48">
        <f t="shared" si="16"/>
        <v>-4.75</v>
      </c>
      <c r="L48">
        <v>65.5</v>
      </c>
      <c r="M48">
        <f t="shared" si="17"/>
        <v>-42</v>
      </c>
      <c r="N48">
        <f>45+60+382+54</f>
        <v>541</v>
      </c>
      <c r="P48" t="s">
        <v>34</v>
      </c>
    </row>
    <row r="49" spans="1:16" ht="15">
      <c r="A49" s="6">
        <v>36030</v>
      </c>
      <c r="B49">
        <v>84</v>
      </c>
      <c r="C49">
        <f t="shared" si="12"/>
        <v>-60.5</v>
      </c>
      <c r="D49">
        <v>74.5</v>
      </c>
      <c r="E49">
        <f t="shared" si="13"/>
        <v>-52.25</v>
      </c>
      <c r="F49">
        <v>69</v>
      </c>
      <c r="G49">
        <f t="shared" si="14"/>
        <v>-48</v>
      </c>
      <c r="H49">
        <v>21</v>
      </c>
      <c r="I49">
        <f t="shared" si="15"/>
        <v>1.5</v>
      </c>
      <c r="J49">
        <v>30.5</v>
      </c>
      <c r="K49">
        <f t="shared" si="16"/>
        <v>-16</v>
      </c>
      <c r="L49">
        <v>80.5</v>
      </c>
      <c r="M49">
        <f t="shared" si="17"/>
        <v>-57</v>
      </c>
      <c r="N49">
        <f>13+12+68+54</f>
        <v>147</v>
      </c>
      <c r="P49" t="s">
        <v>35</v>
      </c>
    </row>
    <row r="50" spans="1:16" ht="15">
      <c r="A50" s="6">
        <v>36104</v>
      </c>
      <c r="B50">
        <v>88</v>
      </c>
      <c r="C50">
        <f t="shared" si="12"/>
        <v>-64.5</v>
      </c>
      <c r="D50">
        <v>80.5</v>
      </c>
      <c r="E50">
        <f t="shared" si="13"/>
        <v>-58.25</v>
      </c>
      <c r="F50">
        <v>76</v>
      </c>
      <c r="G50">
        <f t="shared" si="14"/>
        <v>-55</v>
      </c>
      <c r="H50">
        <v>25</v>
      </c>
      <c r="I50">
        <f t="shared" si="15"/>
        <v>-2.5</v>
      </c>
      <c r="J50">
        <v>37</v>
      </c>
      <c r="K50">
        <f t="shared" si="16"/>
        <v>-22.5</v>
      </c>
      <c r="L50">
        <v>85.25</v>
      </c>
      <c r="M50">
        <f t="shared" si="17"/>
        <v>-61.75</v>
      </c>
      <c r="N50">
        <f>6+8+97</f>
        <v>111</v>
      </c>
      <c r="P50" s="9">
        <v>0.5520833333333334</v>
      </c>
    </row>
    <row r="51" spans="1:16" ht="15">
      <c r="A51" s="8">
        <v>36172</v>
      </c>
      <c r="B51">
        <v>89.75</v>
      </c>
      <c r="C51">
        <f t="shared" si="12"/>
        <v>-66.25</v>
      </c>
      <c r="D51">
        <v>84.5</v>
      </c>
      <c r="E51">
        <f t="shared" si="13"/>
        <v>-62.25</v>
      </c>
      <c r="F51">
        <v>78.25</v>
      </c>
      <c r="G51">
        <f t="shared" si="14"/>
        <v>-57.25</v>
      </c>
      <c r="H51">
        <v>26.75</v>
      </c>
      <c r="I51">
        <f t="shared" si="15"/>
        <v>-4.25</v>
      </c>
      <c r="J51">
        <v>39.75</v>
      </c>
      <c r="K51">
        <f t="shared" si="16"/>
        <v>-25.25</v>
      </c>
      <c r="L51">
        <v>86.75</v>
      </c>
      <c r="M51">
        <f t="shared" si="17"/>
        <v>-63.25</v>
      </c>
      <c r="P51" t="s">
        <v>36</v>
      </c>
    </row>
    <row r="52" spans="1:16" ht="15">
      <c r="A52" s="8">
        <v>36241</v>
      </c>
      <c r="B52">
        <v>90.5</v>
      </c>
      <c r="C52">
        <f t="shared" si="12"/>
        <v>-67</v>
      </c>
      <c r="D52">
        <v>85.5</v>
      </c>
      <c r="E52">
        <f t="shared" si="13"/>
        <v>-63.25</v>
      </c>
      <c r="F52">
        <v>78.75</v>
      </c>
      <c r="G52">
        <f t="shared" si="14"/>
        <v>-57.75</v>
      </c>
      <c r="H52">
        <v>28.75</v>
      </c>
      <c r="I52">
        <f t="shared" si="15"/>
        <v>-6.25</v>
      </c>
      <c r="J52">
        <v>40.75</v>
      </c>
      <c r="K52">
        <f t="shared" si="16"/>
        <v>-26.25</v>
      </c>
      <c r="L52">
        <v>87.5</v>
      </c>
      <c r="M52">
        <f t="shared" si="17"/>
        <v>-64</v>
      </c>
      <c r="P52" t="s">
        <v>37</v>
      </c>
    </row>
    <row r="53" spans="1:16" ht="15">
      <c r="A53" s="8">
        <v>36288</v>
      </c>
      <c r="B53">
        <v>89.5</v>
      </c>
      <c r="C53">
        <f t="shared" si="12"/>
        <v>-66</v>
      </c>
      <c r="D53">
        <v>84.5</v>
      </c>
      <c r="E53">
        <f t="shared" si="13"/>
        <v>-62.25</v>
      </c>
      <c r="F53">
        <v>78.75</v>
      </c>
      <c r="G53">
        <f t="shared" si="14"/>
        <v>-57.75</v>
      </c>
      <c r="H53">
        <v>30.125</v>
      </c>
      <c r="I53">
        <f t="shared" si="15"/>
        <v>-7.625</v>
      </c>
      <c r="J53">
        <v>41.25</v>
      </c>
      <c r="K53">
        <f t="shared" si="16"/>
        <v>-26.75</v>
      </c>
      <c r="L53">
        <v>87.125</v>
      </c>
      <c r="M53">
        <f t="shared" si="17"/>
        <v>-63.625</v>
      </c>
      <c r="N53">
        <v>58</v>
      </c>
      <c r="P53" t="s">
        <v>21</v>
      </c>
    </row>
    <row r="54" spans="1:16" ht="15">
      <c r="A54" s="8">
        <v>36313</v>
      </c>
      <c r="B54">
        <v>87.75</v>
      </c>
      <c r="C54">
        <f t="shared" si="12"/>
        <v>-64.25</v>
      </c>
      <c r="D54">
        <v>80.5</v>
      </c>
      <c r="E54">
        <f t="shared" si="13"/>
        <v>-58.25</v>
      </c>
      <c r="F54">
        <v>73.5</v>
      </c>
      <c r="G54">
        <f t="shared" si="14"/>
        <v>-52.5</v>
      </c>
      <c r="H54">
        <v>26.5</v>
      </c>
      <c r="I54">
        <f t="shared" si="15"/>
        <v>-4</v>
      </c>
      <c r="J54">
        <v>38.125</v>
      </c>
      <c r="K54">
        <f t="shared" si="16"/>
        <v>-23.625</v>
      </c>
      <c r="L54">
        <v>84.25</v>
      </c>
      <c r="M54">
        <f t="shared" si="17"/>
        <v>-60.75</v>
      </c>
      <c r="N54">
        <v>99</v>
      </c>
      <c r="P54" s="9">
        <v>0.6354166666666666</v>
      </c>
    </row>
    <row r="55" spans="1:16" ht="15">
      <c r="A55" s="8">
        <v>36327</v>
      </c>
      <c r="B55">
        <v>87.125</v>
      </c>
      <c r="C55">
        <f t="shared" si="12"/>
        <v>-63.625</v>
      </c>
      <c r="D55">
        <v>80.25</v>
      </c>
      <c r="E55">
        <f t="shared" si="13"/>
        <v>-58</v>
      </c>
      <c r="F55">
        <v>73.25</v>
      </c>
      <c r="G55">
        <f t="shared" si="14"/>
        <v>-52.25</v>
      </c>
      <c r="H55">
        <v>26.25</v>
      </c>
      <c r="I55">
        <f t="shared" si="15"/>
        <v>-3.75</v>
      </c>
      <c r="J55">
        <v>38</v>
      </c>
      <c r="K55">
        <f t="shared" si="16"/>
        <v>-23.5</v>
      </c>
      <c r="L55">
        <v>84.125</v>
      </c>
      <c r="M55">
        <f t="shared" si="17"/>
        <v>-60.625</v>
      </c>
      <c r="N55">
        <v>108</v>
      </c>
      <c r="P55" s="9">
        <v>0.5625</v>
      </c>
    </row>
    <row r="56" spans="1:16" ht="15">
      <c r="A56" s="8">
        <v>36334</v>
      </c>
      <c r="B56">
        <v>86.25</v>
      </c>
      <c r="C56">
        <f t="shared" si="12"/>
        <v>-62.75</v>
      </c>
      <c r="D56">
        <v>79</v>
      </c>
      <c r="E56">
        <f t="shared" si="13"/>
        <v>-56.75</v>
      </c>
      <c r="J56">
        <v>36.75</v>
      </c>
      <c r="K56">
        <f t="shared" si="16"/>
        <v>-22.25</v>
      </c>
      <c r="L56">
        <v>83.125</v>
      </c>
      <c r="M56">
        <f t="shared" si="17"/>
        <v>-59.625</v>
      </c>
      <c r="N56">
        <v>129</v>
      </c>
      <c r="P56" s="9">
        <v>0.6041666666666666</v>
      </c>
    </row>
    <row r="57" spans="1:16" ht="15">
      <c r="A57" s="8">
        <v>36335</v>
      </c>
      <c r="B57">
        <v>86</v>
      </c>
      <c r="C57">
        <f t="shared" si="12"/>
        <v>-62.5</v>
      </c>
      <c r="D57">
        <v>79.75</v>
      </c>
      <c r="E57">
        <f t="shared" si="13"/>
        <v>-57.5</v>
      </c>
      <c r="F57">
        <v>71.25</v>
      </c>
      <c r="G57">
        <f t="shared" si="14"/>
        <v>-50.25</v>
      </c>
      <c r="H57">
        <v>24.75</v>
      </c>
      <c r="I57">
        <f t="shared" si="15"/>
        <v>-2.25</v>
      </c>
      <c r="J57">
        <v>36.25</v>
      </c>
      <c r="K57">
        <f t="shared" si="16"/>
        <v>-21.75</v>
      </c>
      <c r="L57">
        <v>82.75</v>
      </c>
      <c r="M57">
        <f t="shared" si="17"/>
        <v>-59.25</v>
      </c>
      <c r="N57">
        <v>137</v>
      </c>
      <c r="P57" s="9">
        <v>0.6354166666666666</v>
      </c>
    </row>
    <row r="58" spans="1:16" ht="15">
      <c r="A58" s="8">
        <v>36342</v>
      </c>
      <c r="B58">
        <v>86.25</v>
      </c>
      <c r="C58">
        <f t="shared" si="12"/>
        <v>-62.75</v>
      </c>
      <c r="D58">
        <v>79.75</v>
      </c>
      <c r="E58">
        <f t="shared" si="13"/>
        <v>-57.5</v>
      </c>
      <c r="F58">
        <v>72</v>
      </c>
      <c r="G58">
        <f t="shared" si="14"/>
        <v>-51</v>
      </c>
      <c r="H58">
        <v>24.75</v>
      </c>
      <c r="I58">
        <f t="shared" si="15"/>
        <v>-2.25</v>
      </c>
      <c r="J58">
        <v>36.75</v>
      </c>
      <c r="K58">
        <f t="shared" si="16"/>
        <v>-22.25</v>
      </c>
      <c r="L58">
        <v>83.25</v>
      </c>
      <c r="M58">
        <f t="shared" si="17"/>
        <v>-59.75</v>
      </c>
      <c r="N58">
        <v>137</v>
      </c>
      <c r="P58" t="s">
        <v>30</v>
      </c>
    </row>
    <row r="59" spans="1:16" ht="15">
      <c r="A59" s="8">
        <v>36343</v>
      </c>
      <c r="B59">
        <v>84.25</v>
      </c>
      <c r="C59">
        <f t="shared" si="12"/>
        <v>-60.75</v>
      </c>
      <c r="D59">
        <v>77</v>
      </c>
      <c r="E59">
        <f t="shared" si="13"/>
        <v>-54.75</v>
      </c>
      <c r="F59">
        <v>66.5</v>
      </c>
      <c r="G59">
        <f t="shared" si="14"/>
        <v>-45.5</v>
      </c>
      <c r="H59">
        <v>22</v>
      </c>
      <c r="I59">
        <f t="shared" si="15"/>
        <v>0.5</v>
      </c>
      <c r="J59">
        <v>35.25</v>
      </c>
      <c r="K59">
        <f t="shared" si="16"/>
        <v>-20.75</v>
      </c>
      <c r="L59">
        <v>80.25</v>
      </c>
      <c r="M59">
        <f t="shared" si="17"/>
        <v>-56.75</v>
      </c>
      <c r="N59">
        <f>63+55+46+21</f>
        <v>185</v>
      </c>
      <c r="P59" s="9">
        <v>0.5833333333333334</v>
      </c>
    </row>
    <row r="60" spans="1:16" ht="15">
      <c r="A60" s="8">
        <v>36344</v>
      </c>
      <c r="B60">
        <v>82.75</v>
      </c>
      <c r="C60">
        <f t="shared" si="12"/>
        <v>-59.25</v>
      </c>
      <c r="D60">
        <v>74</v>
      </c>
      <c r="E60">
        <f t="shared" si="13"/>
        <v>-51.75</v>
      </c>
      <c r="F60">
        <v>63</v>
      </c>
      <c r="G60">
        <f t="shared" si="14"/>
        <v>-42</v>
      </c>
      <c r="H60">
        <v>20.5</v>
      </c>
      <c r="I60">
        <f t="shared" si="15"/>
        <v>2</v>
      </c>
      <c r="J60">
        <v>33</v>
      </c>
      <c r="K60">
        <f t="shared" si="16"/>
        <v>-18.5</v>
      </c>
      <c r="L60">
        <v>78.5</v>
      </c>
      <c r="M60">
        <f t="shared" si="17"/>
        <v>-55</v>
      </c>
      <c r="N60">
        <f>81+56+44+21</f>
        <v>202</v>
      </c>
      <c r="P60" s="9">
        <v>0.6041666666666666</v>
      </c>
    </row>
    <row r="61" spans="1:16" ht="15">
      <c r="A61" s="8">
        <v>36345</v>
      </c>
      <c r="B61">
        <v>82.25</v>
      </c>
      <c r="C61">
        <f t="shared" si="12"/>
        <v>-58.75</v>
      </c>
      <c r="D61">
        <v>72.25</v>
      </c>
      <c r="E61">
        <f t="shared" si="13"/>
        <v>-50</v>
      </c>
      <c r="F61">
        <v>60.5</v>
      </c>
      <c r="G61">
        <f t="shared" si="14"/>
        <v>-39.5</v>
      </c>
      <c r="H61">
        <v>19.25</v>
      </c>
      <c r="I61">
        <f t="shared" si="15"/>
        <v>3.25</v>
      </c>
      <c r="J61">
        <v>31</v>
      </c>
      <c r="K61">
        <f t="shared" si="16"/>
        <v>-16.5</v>
      </c>
      <c r="L61">
        <v>77.5</v>
      </c>
      <c r="M61">
        <f t="shared" si="17"/>
        <v>-54</v>
      </c>
      <c r="N61">
        <f>155+39+20</f>
        <v>214</v>
      </c>
      <c r="P61" s="9">
        <v>0.59375</v>
      </c>
    </row>
    <row r="62" spans="1:16" ht="15">
      <c r="A62" s="8">
        <v>36346</v>
      </c>
      <c r="B62">
        <v>82</v>
      </c>
      <c r="C62">
        <f t="shared" si="12"/>
        <v>-58.5</v>
      </c>
      <c r="D62">
        <v>75.5</v>
      </c>
      <c r="E62">
        <f t="shared" si="13"/>
        <v>-53.25</v>
      </c>
      <c r="F62">
        <v>60</v>
      </c>
      <c r="G62">
        <f t="shared" si="14"/>
        <v>-39</v>
      </c>
      <c r="H62">
        <v>19</v>
      </c>
      <c r="I62">
        <f t="shared" si="15"/>
        <v>3.5</v>
      </c>
      <c r="J62">
        <v>30.5</v>
      </c>
      <c r="K62">
        <f t="shared" si="16"/>
        <v>-16</v>
      </c>
      <c r="L62">
        <v>77.5</v>
      </c>
      <c r="M62">
        <f t="shared" si="17"/>
        <v>-54</v>
      </c>
      <c r="N62">
        <f>121+55+33+18</f>
        <v>227</v>
      </c>
      <c r="P62" s="9">
        <v>0.6666666666666666</v>
      </c>
    </row>
    <row r="63" spans="1:16" ht="15">
      <c r="A63" s="8">
        <v>36347</v>
      </c>
      <c r="B63">
        <v>82</v>
      </c>
      <c r="C63">
        <f t="shared" si="12"/>
        <v>-58.5</v>
      </c>
      <c r="D63">
        <v>72</v>
      </c>
      <c r="E63">
        <f t="shared" si="13"/>
        <v>-49.75</v>
      </c>
      <c r="F63">
        <v>60.75</v>
      </c>
      <c r="G63">
        <f t="shared" si="14"/>
        <v>-39.75</v>
      </c>
      <c r="H63">
        <v>19</v>
      </c>
      <c r="I63">
        <f t="shared" si="15"/>
        <v>3.5</v>
      </c>
      <c r="J63">
        <v>30</v>
      </c>
      <c r="K63">
        <f t="shared" si="16"/>
        <v>-15.5</v>
      </c>
      <c r="L63">
        <v>77.25</v>
      </c>
      <c r="M63">
        <f t="shared" si="17"/>
        <v>-53.75</v>
      </c>
      <c r="N63">
        <f>121+55+30+17</f>
        <v>223</v>
      </c>
      <c r="P63" s="9">
        <v>0.5729166666666666</v>
      </c>
    </row>
    <row r="64" spans="1:16" ht="15">
      <c r="A64" s="8">
        <v>36350</v>
      </c>
      <c r="B64">
        <v>81</v>
      </c>
      <c r="C64">
        <f t="shared" si="12"/>
        <v>-57.5</v>
      </c>
      <c r="D64">
        <v>70.75</v>
      </c>
      <c r="E64">
        <f t="shared" si="13"/>
        <v>-48.5</v>
      </c>
      <c r="F64">
        <v>58.25</v>
      </c>
      <c r="G64">
        <f t="shared" si="14"/>
        <v>-37.25</v>
      </c>
      <c r="H64">
        <v>18</v>
      </c>
      <c r="I64">
        <f t="shared" si="15"/>
        <v>4.5</v>
      </c>
      <c r="J64">
        <v>29</v>
      </c>
      <c r="K64">
        <f t="shared" si="16"/>
        <v>-14.5</v>
      </c>
      <c r="L64">
        <v>76</v>
      </c>
      <c r="M64">
        <f t="shared" si="17"/>
        <v>-52.5</v>
      </c>
      <c r="N64">
        <f>17+37+100+86</f>
        <v>240</v>
      </c>
      <c r="P64" s="9">
        <v>0.7673611111111112</v>
      </c>
    </row>
    <row r="65" spans="1:16" ht="15">
      <c r="A65" s="8">
        <v>36352</v>
      </c>
      <c r="B65">
        <v>80.75</v>
      </c>
      <c r="C65">
        <f t="shared" si="12"/>
        <v>-57.25</v>
      </c>
      <c r="D65">
        <v>70.25</v>
      </c>
      <c r="E65">
        <f t="shared" si="13"/>
        <v>-48</v>
      </c>
      <c r="F65">
        <v>58</v>
      </c>
      <c r="G65">
        <f t="shared" si="14"/>
        <v>-37</v>
      </c>
      <c r="H65">
        <v>17.75</v>
      </c>
      <c r="I65">
        <f t="shared" si="15"/>
        <v>4.75</v>
      </c>
      <c r="J65">
        <v>28</v>
      </c>
      <c r="K65">
        <f t="shared" si="16"/>
        <v>-13.5</v>
      </c>
      <c r="L65">
        <v>75.75</v>
      </c>
      <c r="M65">
        <f t="shared" si="17"/>
        <v>-52.25</v>
      </c>
      <c r="N65">
        <f>17+35+70+126</f>
        <v>248</v>
      </c>
      <c r="P65" s="9">
        <v>0.6770833333333334</v>
      </c>
    </row>
    <row r="66" spans="1:16" ht="15">
      <c r="A66" s="8">
        <v>36354</v>
      </c>
      <c r="B66">
        <v>81</v>
      </c>
      <c r="C66">
        <f t="shared" si="12"/>
        <v>-57.5</v>
      </c>
      <c r="D66">
        <v>70.5</v>
      </c>
      <c r="E66">
        <f t="shared" si="13"/>
        <v>-48.25</v>
      </c>
      <c r="F66">
        <v>58</v>
      </c>
      <c r="G66">
        <f t="shared" si="14"/>
        <v>-37</v>
      </c>
      <c r="H66">
        <v>17.75</v>
      </c>
      <c r="I66">
        <f t="shared" si="15"/>
        <v>4.75</v>
      </c>
      <c r="J66">
        <v>28</v>
      </c>
      <c r="K66">
        <f t="shared" si="16"/>
        <v>-13.5</v>
      </c>
      <c r="L66">
        <v>76</v>
      </c>
      <c r="M66">
        <f t="shared" si="17"/>
        <v>-52.5</v>
      </c>
      <c r="N66">
        <f>17+49+33+150</f>
        <v>249</v>
      </c>
      <c r="P66" s="9">
        <v>0.6666666666666666</v>
      </c>
    </row>
    <row r="67" spans="1:16" ht="15">
      <c r="A67" s="8">
        <v>36359</v>
      </c>
      <c r="B67">
        <v>84.5</v>
      </c>
      <c r="C67">
        <f t="shared" si="12"/>
        <v>-61</v>
      </c>
      <c r="D67">
        <v>74.25</v>
      </c>
      <c r="E67">
        <f t="shared" si="13"/>
        <v>-52</v>
      </c>
      <c r="F67">
        <v>63.75</v>
      </c>
      <c r="G67">
        <f t="shared" si="14"/>
        <v>-42.75</v>
      </c>
      <c r="H67">
        <v>21</v>
      </c>
      <c r="I67">
        <f t="shared" si="15"/>
        <v>1.5</v>
      </c>
      <c r="J67">
        <v>29.5</v>
      </c>
      <c r="K67">
        <f t="shared" si="16"/>
        <v>-15</v>
      </c>
      <c r="L67">
        <v>80</v>
      </c>
      <c r="M67">
        <f t="shared" si="17"/>
        <v>-56.5</v>
      </c>
      <c r="N67">
        <f>29+17+33+94</f>
        <v>173</v>
      </c>
      <c r="P67" s="9">
        <v>0.5833333333333334</v>
      </c>
    </row>
    <row r="68" spans="1:16" ht="15">
      <c r="A68" s="8">
        <v>36363</v>
      </c>
      <c r="B68">
        <v>87.5</v>
      </c>
      <c r="C68">
        <f t="shared" si="12"/>
        <v>-64</v>
      </c>
      <c r="D68">
        <v>77.5</v>
      </c>
      <c r="E68">
        <f t="shared" si="13"/>
        <v>-55.25</v>
      </c>
      <c r="F68">
        <v>69</v>
      </c>
      <c r="G68">
        <f t="shared" si="14"/>
        <v>-48</v>
      </c>
      <c r="H68">
        <v>23.75</v>
      </c>
      <c r="I68">
        <f t="shared" si="15"/>
        <v>-1.25</v>
      </c>
      <c r="J68">
        <v>31.5</v>
      </c>
      <c r="K68">
        <f t="shared" si="16"/>
        <v>-17</v>
      </c>
      <c r="L68">
        <v>83.5</v>
      </c>
      <c r="M68">
        <f t="shared" si="17"/>
        <v>-60</v>
      </c>
      <c r="N68">
        <f>9+11+33+89</f>
        <v>142</v>
      </c>
      <c r="P68" s="9">
        <v>0.5416666666666666</v>
      </c>
    </row>
    <row r="69" spans="1:16" ht="15">
      <c r="A69" s="8">
        <v>36368</v>
      </c>
      <c r="B69">
        <v>88.75</v>
      </c>
      <c r="C69">
        <f t="shared" si="12"/>
        <v>-65.25</v>
      </c>
      <c r="D69">
        <v>79.5</v>
      </c>
      <c r="E69">
        <f t="shared" si="13"/>
        <v>-57.25</v>
      </c>
      <c r="F69">
        <v>70.75</v>
      </c>
      <c r="G69">
        <f t="shared" si="14"/>
        <v>-49.75</v>
      </c>
      <c r="H69">
        <v>24.5</v>
      </c>
      <c r="I69">
        <f t="shared" si="15"/>
        <v>-2</v>
      </c>
      <c r="J69">
        <v>33.75</v>
      </c>
      <c r="K69">
        <f t="shared" si="16"/>
        <v>-19.25</v>
      </c>
      <c r="L69">
        <v>84.75</v>
      </c>
      <c r="M69">
        <f t="shared" si="17"/>
        <v>-61.25</v>
      </c>
      <c r="N69">
        <f>11+9+21+88</f>
        <v>129</v>
      </c>
      <c r="P69" s="9">
        <v>0.625</v>
      </c>
    </row>
    <row r="70" spans="1:16" ht="15">
      <c r="A70" s="8">
        <v>36372</v>
      </c>
      <c r="B70">
        <v>88.5</v>
      </c>
      <c r="C70">
        <f t="shared" si="12"/>
        <v>-65</v>
      </c>
      <c r="D70">
        <v>79.75</v>
      </c>
      <c r="E70">
        <f t="shared" si="13"/>
        <v>-57.5</v>
      </c>
      <c r="F70">
        <v>70.75</v>
      </c>
      <c r="G70">
        <f t="shared" si="14"/>
        <v>-49.75</v>
      </c>
      <c r="H70">
        <v>24.25</v>
      </c>
      <c r="I70">
        <f t="shared" si="15"/>
        <v>-1.75</v>
      </c>
      <c r="J70">
        <v>34.75</v>
      </c>
      <c r="K70">
        <f t="shared" si="16"/>
        <v>-20.25</v>
      </c>
      <c r="L70">
        <v>84.5</v>
      </c>
      <c r="M70">
        <f t="shared" si="17"/>
        <v>-61</v>
      </c>
      <c r="N70">
        <f>10+8+21+91</f>
        <v>130</v>
      </c>
      <c r="P70" s="9">
        <v>0.6041666666666666</v>
      </c>
    </row>
    <row r="71" spans="1:16" ht="15">
      <c r="A71" s="8">
        <v>36385</v>
      </c>
      <c r="B71">
        <v>89.75</v>
      </c>
      <c r="C71">
        <f t="shared" si="12"/>
        <v>-66.25</v>
      </c>
      <c r="D71">
        <v>81.5</v>
      </c>
      <c r="E71">
        <f t="shared" si="13"/>
        <v>-59.25</v>
      </c>
      <c r="F71">
        <v>73.5</v>
      </c>
      <c r="G71">
        <f t="shared" si="14"/>
        <v>-52.5</v>
      </c>
      <c r="H71">
        <v>25.75</v>
      </c>
      <c r="I71">
        <f t="shared" si="15"/>
        <v>-3.25</v>
      </c>
      <c r="J71">
        <v>36.75</v>
      </c>
      <c r="K71">
        <f t="shared" si="16"/>
        <v>-22.25</v>
      </c>
      <c r="L71">
        <v>84.5</v>
      </c>
      <c r="M71">
        <f t="shared" si="17"/>
        <v>-61</v>
      </c>
      <c r="N71">
        <f>8+6+91</f>
        <v>105</v>
      </c>
      <c r="P71" s="9">
        <v>0.6770833333333334</v>
      </c>
    </row>
    <row r="72" spans="1:16" ht="15">
      <c r="A72" s="8">
        <v>36390</v>
      </c>
      <c r="B72">
        <v>90</v>
      </c>
      <c r="C72">
        <f t="shared" si="12"/>
        <v>-66.5</v>
      </c>
      <c r="D72">
        <v>81.5</v>
      </c>
      <c r="E72">
        <f t="shared" si="13"/>
        <v>-59.25</v>
      </c>
      <c r="F72">
        <v>73.75</v>
      </c>
      <c r="G72">
        <f t="shared" si="14"/>
        <v>-52.75</v>
      </c>
      <c r="H72">
        <v>26</v>
      </c>
      <c r="I72">
        <f t="shared" si="15"/>
        <v>-3.5</v>
      </c>
      <c r="J72">
        <v>37.5</v>
      </c>
      <c r="K72">
        <f t="shared" si="16"/>
        <v>-23</v>
      </c>
      <c r="L72">
        <v>86.5</v>
      </c>
      <c r="M72">
        <f t="shared" si="17"/>
        <v>-63</v>
      </c>
      <c r="N72">
        <f>10+5+90</f>
        <v>105</v>
      </c>
      <c r="P72" s="9">
        <v>0.65625</v>
      </c>
    </row>
    <row r="73" spans="1:16" ht="15">
      <c r="A73" s="8">
        <v>36414</v>
      </c>
      <c r="B73">
        <v>90.5</v>
      </c>
      <c r="C73">
        <f t="shared" si="12"/>
        <v>-67</v>
      </c>
      <c r="D73">
        <v>82.25</v>
      </c>
      <c r="E73">
        <f t="shared" si="13"/>
        <v>-60</v>
      </c>
      <c r="F73">
        <v>75.25</v>
      </c>
      <c r="G73">
        <f t="shared" si="14"/>
        <v>-54.25</v>
      </c>
      <c r="H73">
        <v>26.75</v>
      </c>
      <c r="I73">
        <f t="shared" si="15"/>
        <v>-4.25</v>
      </c>
      <c r="J73">
        <v>38.75</v>
      </c>
      <c r="K73">
        <f t="shared" si="16"/>
        <v>-24.25</v>
      </c>
      <c r="L73">
        <v>87.25</v>
      </c>
      <c r="M73">
        <f t="shared" si="17"/>
        <v>-63.75</v>
      </c>
      <c r="P73" s="9">
        <v>0.5833333333333334</v>
      </c>
    </row>
    <row r="74" spans="1:16" ht="15">
      <c r="A74" s="8">
        <v>36437</v>
      </c>
      <c r="B74">
        <v>90.75</v>
      </c>
      <c r="C74">
        <f t="shared" si="12"/>
        <v>-67.25</v>
      </c>
      <c r="D74">
        <v>82.5</v>
      </c>
      <c r="E74">
        <f t="shared" si="13"/>
        <v>-60.25</v>
      </c>
      <c r="F74">
        <v>76.25</v>
      </c>
      <c r="G74">
        <f t="shared" si="14"/>
        <v>-55.25</v>
      </c>
      <c r="H74">
        <v>27.5</v>
      </c>
      <c r="I74">
        <f t="shared" si="15"/>
        <v>-5</v>
      </c>
      <c r="J74">
        <v>38.5</v>
      </c>
      <c r="K74">
        <f t="shared" si="16"/>
        <v>-24</v>
      </c>
      <c r="L74">
        <v>86.5</v>
      </c>
      <c r="M74">
        <f t="shared" si="17"/>
        <v>-63</v>
      </c>
      <c r="P74" s="9">
        <v>0.513888888888889</v>
      </c>
    </row>
    <row r="75" spans="1:16" ht="15">
      <c r="A75" s="8">
        <v>36534</v>
      </c>
      <c r="B75" t="s">
        <v>38</v>
      </c>
      <c r="D75">
        <v>87</v>
      </c>
      <c r="E75">
        <f t="shared" si="13"/>
        <v>-64.75</v>
      </c>
      <c r="F75">
        <v>80.25</v>
      </c>
      <c r="G75">
        <f t="shared" si="14"/>
        <v>-59.25</v>
      </c>
      <c r="H75">
        <v>29</v>
      </c>
      <c r="I75">
        <f t="shared" si="15"/>
        <v>-6.5</v>
      </c>
      <c r="J75">
        <v>39.75</v>
      </c>
      <c r="K75">
        <f t="shared" si="16"/>
        <v>-25.25</v>
      </c>
      <c r="L75">
        <v>88.5</v>
      </c>
      <c r="M75">
        <f t="shared" si="17"/>
        <v>-65</v>
      </c>
      <c r="N75">
        <f>78-32+4+2</f>
        <v>52</v>
      </c>
      <c r="P75" t="s">
        <v>39</v>
      </c>
    </row>
    <row r="76" spans="1:16" ht="15">
      <c r="A76" s="8">
        <v>36571</v>
      </c>
      <c r="B76">
        <v>92.25</v>
      </c>
      <c r="C76">
        <f t="shared" si="12"/>
        <v>-68.75</v>
      </c>
      <c r="D76">
        <v>85.25</v>
      </c>
      <c r="E76">
        <f t="shared" si="13"/>
        <v>-63</v>
      </c>
      <c r="F76">
        <v>77.5</v>
      </c>
      <c r="G76">
        <f t="shared" si="14"/>
        <v>-56.5</v>
      </c>
      <c r="H76">
        <v>27.75</v>
      </c>
      <c r="I76">
        <f t="shared" si="15"/>
        <v>-5.25</v>
      </c>
      <c r="J76">
        <v>40.75</v>
      </c>
      <c r="K76">
        <f t="shared" si="16"/>
        <v>-26.25</v>
      </c>
      <c r="L76">
        <v>87.5</v>
      </c>
      <c r="M76">
        <f t="shared" si="17"/>
        <v>-64</v>
      </c>
      <c r="N76">
        <f>87-39+5+5</f>
        <v>58</v>
      </c>
      <c r="P76" t="s">
        <v>40</v>
      </c>
    </row>
    <row r="77" spans="1:16" ht="15">
      <c r="A77" s="8">
        <v>36637</v>
      </c>
      <c r="B77">
        <v>91.75</v>
      </c>
      <c r="C77">
        <f t="shared" si="12"/>
        <v>-68.25</v>
      </c>
      <c r="D77">
        <v>84.25</v>
      </c>
      <c r="E77">
        <f t="shared" si="13"/>
        <v>-62</v>
      </c>
      <c r="F77">
        <v>77.75</v>
      </c>
      <c r="G77">
        <f t="shared" si="14"/>
        <v>-56.75</v>
      </c>
      <c r="H77">
        <v>28.75</v>
      </c>
      <c r="I77">
        <f t="shared" si="15"/>
        <v>-6.25</v>
      </c>
      <c r="J77">
        <v>41.25</v>
      </c>
      <c r="K77">
        <f t="shared" si="16"/>
        <v>-26.75</v>
      </c>
      <c r="L77">
        <v>88</v>
      </c>
      <c r="M77">
        <f t="shared" si="17"/>
        <v>-64.5</v>
      </c>
      <c r="P77" s="9">
        <v>0.625</v>
      </c>
    </row>
    <row r="78" spans="1:14" ht="15">
      <c r="A78" s="8">
        <v>36657</v>
      </c>
      <c r="B78">
        <v>91</v>
      </c>
      <c r="C78">
        <f t="shared" si="12"/>
        <v>-67.5</v>
      </c>
      <c r="D78">
        <v>82.5</v>
      </c>
      <c r="E78">
        <f t="shared" si="13"/>
        <v>-60.25</v>
      </c>
      <c r="F78">
        <v>75.75</v>
      </c>
      <c r="G78">
        <f t="shared" si="14"/>
        <v>-54.75</v>
      </c>
      <c r="H78">
        <v>27.75</v>
      </c>
      <c r="I78">
        <f t="shared" si="15"/>
        <v>-5.25</v>
      </c>
      <c r="J78">
        <v>40.5</v>
      </c>
      <c r="K78">
        <f t="shared" si="16"/>
        <v>-26</v>
      </c>
      <c r="L78">
        <v>87</v>
      </c>
      <c r="M78">
        <f t="shared" si="17"/>
        <v>-63.5</v>
      </c>
      <c r="N78">
        <f>47+8+14</f>
        <v>69</v>
      </c>
    </row>
    <row r="79" spans="1:16" ht="15">
      <c r="A79" s="8">
        <v>36669</v>
      </c>
      <c r="B79">
        <v>89.75</v>
      </c>
      <c r="C79">
        <f t="shared" si="12"/>
        <v>-66.25</v>
      </c>
      <c r="D79">
        <v>81.5</v>
      </c>
      <c r="E79">
        <f t="shared" si="13"/>
        <v>-59.25</v>
      </c>
      <c r="F79">
        <v>72.5</v>
      </c>
      <c r="G79">
        <f t="shared" si="14"/>
        <v>-51.5</v>
      </c>
      <c r="H79">
        <v>26</v>
      </c>
      <c r="I79">
        <f t="shared" si="15"/>
        <v>-3.5</v>
      </c>
      <c r="J79">
        <v>39</v>
      </c>
      <c r="K79">
        <f t="shared" si="16"/>
        <v>-24.5</v>
      </c>
      <c r="L79">
        <v>85.75</v>
      </c>
      <c r="M79">
        <f t="shared" si="17"/>
        <v>-62.25</v>
      </c>
      <c r="N79">
        <f>50+19+20</f>
        <v>89</v>
      </c>
      <c r="P79" s="9">
        <v>0.5972222222222222</v>
      </c>
    </row>
    <row r="80" spans="1:16" ht="15">
      <c r="A80" s="8">
        <v>36691</v>
      </c>
      <c r="B80">
        <v>89.25</v>
      </c>
      <c r="C80">
        <f t="shared" si="12"/>
        <v>-65.75</v>
      </c>
      <c r="D80">
        <v>80</v>
      </c>
      <c r="E80">
        <f t="shared" si="13"/>
        <v>-57.75</v>
      </c>
      <c r="F80">
        <v>70.75</v>
      </c>
      <c r="G80">
        <f t="shared" si="14"/>
        <v>-49.75</v>
      </c>
      <c r="H80">
        <v>24.5</v>
      </c>
      <c r="I80">
        <f t="shared" si="15"/>
        <v>-2</v>
      </c>
      <c r="J80">
        <v>37.5</v>
      </c>
      <c r="K80">
        <f t="shared" si="16"/>
        <v>-23</v>
      </c>
      <c r="L80">
        <v>85</v>
      </c>
      <c r="M80">
        <f t="shared" si="17"/>
        <v>-61.5</v>
      </c>
      <c r="N80">
        <f>50+18+34</f>
        <v>102</v>
      </c>
      <c r="P80" t="s">
        <v>41</v>
      </c>
    </row>
    <row r="81" spans="1:16" ht="15">
      <c r="A81" s="8">
        <v>36684</v>
      </c>
      <c r="B81">
        <v>89</v>
      </c>
      <c r="C81">
        <f t="shared" si="12"/>
        <v>-65.5</v>
      </c>
      <c r="D81">
        <v>80</v>
      </c>
      <c r="E81">
        <f t="shared" si="13"/>
        <v>-57.75</v>
      </c>
      <c r="F81">
        <v>71.5</v>
      </c>
      <c r="G81">
        <f t="shared" si="14"/>
        <v>-50.5</v>
      </c>
      <c r="H81">
        <v>24.5</v>
      </c>
      <c r="I81">
        <f t="shared" si="15"/>
        <v>-2</v>
      </c>
      <c r="J81">
        <v>37</v>
      </c>
      <c r="K81">
        <f t="shared" si="16"/>
        <v>-22.5</v>
      </c>
      <c r="L81">
        <v>84.5</v>
      </c>
      <c r="M81">
        <f t="shared" si="17"/>
        <v>-61</v>
      </c>
      <c r="N81">
        <f>50+21+32</f>
        <v>103</v>
      </c>
      <c r="P81" t="s">
        <v>42</v>
      </c>
    </row>
    <row r="82" spans="1:16" ht="15">
      <c r="A82" s="8">
        <v>36701</v>
      </c>
      <c r="B82">
        <v>88.5</v>
      </c>
      <c r="C82">
        <f t="shared" si="12"/>
        <v>-65</v>
      </c>
      <c r="D82">
        <v>78.5</v>
      </c>
      <c r="E82">
        <f t="shared" si="13"/>
        <v>-56.25</v>
      </c>
      <c r="F82">
        <v>69.5</v>
      </c>
      <c r="G82">
        <f t="shared" si="14"/>
        <v>-48.5</v>
      </c>
      <c r="H82">
        <v>24.75</v>
      </c>
      <c r="I82">
        <f t="shared" si="15"/>
        <v>-2.25</v>
      </c>
      <c r="J82">
        <v>36</v>
      </c>
      <c r="K82">
        <f t="shared" si="16"/>
        <v>-21.5</v>
      </c>
      <c r="L82">
        <v>84.25</v>
      </c>
      <c r="M82">
        <f t="shared" si="17"/>
        <v>-60.75</v>
      </c>
      <c r="N82">
        <f>52+20+40</f>
        <v>112</v>
      </c>
      <c r="P82" s="9">
        <v>0.7291666666666666</v>
      </c>
    </row>
    <row r="83" spans="1:16" ht="15">
      <c r="A83" s="8">
        <v>36703</v>
      </c>
      <c r="B83">
        <v>87.5</v>
      </c>
      <c r="C83">
        <f t="shared" si="12"/>
        <v>-64</v>
      </c>
      <c r="D83">
        <v>77.75</v>
      </c>
      <c r="E83">
        <f t="shared" si="13"/>
        <v>-55.5</v>
      </c>
      <c r="F83">
        <v>68</v>
      </c>
      <c r="G83">
        <f t="shared" si="14"/>
        <v>-47</v>
      </c>
      <c r="H83">
        <v>23.75</v>
      </c>
      <c r="I83">
        <f t="shared" si="15"/>
        <v>-1.25</v>
      </c>
      <c r="J83">
        <v>35.5</v>
      </c>
      <c r="K83">
        <f t="shared" si="16"/>
        <v>-21</v>
      </c>
      <c r="L83">
        <v>82.75</v>
      </c>
      <c r="M83">
        <f t="shared" si="17"/>
        <v>-59.25</v>
      </c>
      <c r="N83">
        <f>52+23+47+12</f>
        <v>134</v>
      </c>
      <c r="O83" t="s">
        <v>44</v>
      </c>
      <c r="P83" t="s">
        <v>43</v>
      </c>
    </row>
    <row r="84" spans="1:16" ht="15">
      <c r="A84" s="8">
        <v>36708</v>
      </c>
      <c r="B84">
        <v>81.5</v>
      </c>
      <c r="C84">
        <f t="shared" si="12"/>
        <v>-58</v>
      </c>
      <c r="D84">
        <v>69.25</v>
      </c>
      <c r="E84">
        <f t="shared" si="13"/>
        <v>-47</v>
      </c>
      <c r="F84">
        <v>55.75</v>
      </c>
      <c r="G84">
        <f t="shared" si="14"/>
        <v>-34.75</v>
      </c>
      <c r="H84">
        <v>17.5</v>
      </c>
      <c r="I84">
        <f t="shared" si="15"/>
        <v>5</v>
      </c>
      <c r="J84">
        <v>28.25</v>
      </c>
      <c r="K84">
        <f t="shared" si="16"/>
        <v>-13.75</v>
      </c>
      <c r="L84">
        <v>75.75</v>
      </c>
      <c r="M84">
        <f t="shared" si="17"/>
        <v>-52.25</v>
      </c>
      <c r="N84">
        <f>57+150+16+38</f>
        <v>261</v>
      </c>
      <c r="P84" t="s">
        <v>45</v>
      </c>
    </row>
    <row r="85" spans="1:16" ht="15">
      <c r="A85" s="8">
        <v>36713</v>
      </c>
      <c r="B85">
        <v>84</v>
      </c>
      <c r="C85">
        <f t="shared" si="12"/>
        <v>-60.5</v>
      </c>
      <c r="D85">
        <v>71</v>
      </c>
      <c r="E85">
        <f t="shared" si="13"/>
        <v>-48.75</v>
      </c>
      <c r="F85">
        <v>59.75</v>
      </c>
      <c r="G85">
        <f t="shared" si="14"/>
        <v>-38.75</v>
      </c>
      <c r="H85">
        <v>19.5</v>
      </c>
      <c r="I85">
        <f t="shared" si="15"/>
        <v>3</v>
      </c>
      <c r="J85">
        <v>28.5</v>
      </c>
      <c r="K85">
        <f t="shared" si="16"/>
        <v>-14</v>
      </c>
      <c r="L85">
        <v>78.5</v>
      </c>
      <c r="M85">
        <f t="shared" si="17"/>
        <v>-55</v>
      </c>
      <c r="N85">
        <f>56+85+21+11</f>
        <v>173</v>
      </c>
      <c r="P85" t="s">
        <v>46</v>
      </c>
    </row>
    <row r="86" spans="1:16" ht="15">
      <c r="A86" s="8">
        <v>36716</v>
      </c>
      <c r="B86">
        <v>85.75</v>
      </c>
      <c r="C86">
        <f t="shared" si="12"/>
        <v>-62.25</v>
      </c>
      <c r="D86">
        <v>74</v>
      </c>
      <c r="E86">
        <f t="shared" si="13"/>
        <v>-51.75</v>
      </c>
      <c r="F86">
        <v>62.75</v>
      </c>
      <c r="G86">
        <f t="shared" si="14"/>
        <v>-41.75</v>
      </c>
      <c r="H86">
        <v>21</v>
      </c>
      <c r="I86">
        <f t="shared" si="15"/>
        <v>1.5</v>
      </c>
      <c r="J86">
        <v>30.25</v>
      </c>
      <c r="K86">
        <f t="shared" si="16"/>
        <v>-15.75</v>
      </c>
      <c r="L86">
        <v>80.5</v>
      </c>
      <c r="M86">
        <f t="shared" si="17"/>
        <v>-57</v>
      </c>
      <c r="N86">
        <f>56+55+18+9</f>
        <v>138</v>
      </c>
      <c r="O86" t="s">
        <v>47</v>
      </c>
      <c r="P86" s="9">
        <v>0.6458333333333334</v>
      </c>
    </row>
    <row r="87" spans="1:16" ht="15">
      <c r="A87" s="8">
        <v>36719</v>
      </c>
      <c r="B87">
        <v>86.25</v>
      </c>
      <c r="C87">
        <f t="shared" si="12"/>
        <v>-62.75</v>
      </c>
      <c r="D87">
        <v>75</v>
      </c>
      <c r="E87">
        <f t="shared" si="13"/>
        <v>-52.75</v>
      </c>
      <c r="F87">
        <v>63.75</v>
      </c>
      <c r="G87">
        <f t="shared" si="14"/>
        <v>-42.75</v>
      </c>
      <c r="H87">
        <v>21.25</v>
      </c>
      <c r="I87">
        <f t="shared" si="15"/>
        <v>1.25</v>
      </c>
      <c r="J87">
        <v>31.25</v>
      </c>
      <c r="K87">
        <f t="shared" si="16"/>
        <v>-16.75</v>
      </c>
      <c r="L87">
        <v>81</v>
      </c>
      <c r="M87">
        <f t="shared" si="17"/>
        <v>-57.5</v>
      </c>
      <c r="N87">
        <f>55+53+24+8</f>
        <v>140</v>
      </c>
      <c r="P87" t="s">
        <v>30</v>
      </c>
    </row>
    <row r="88" spans="1:16" ht="15">
      <c r="A88" s="8">
        <v>36721</v>
      </c>
      <c r="B88">
        <v>86.5</v>
      </c>
      <c r="C88">
        <f t="shared" si="12"/>
        <v>-63</v>
      </c>
      <c r="D88">
        <v>75.75</v>
      </c>
      <c r="E88">
        <f t="shared" si="13"/>
        <v>-53.5</v>
      </c>
      <c r="F88">
        <v>65.5</v>
      </c>
      <c r="G88">
        <f t="shared" si="14"/>
        <v>-44.5</v>
      </c>
      <c r="H88">
        <v>21.75</v>
      </c>
      <c r="I88">
        <f t="shared" si="15"/>
        <v>0.75</v>
      </c>
      <c r="J88">
        <v>31.75</v>
      </c>
      <c r="K88">
        <f t="shared" si="16"/>
        <v>-17.25</v>
      </c>
      <c r="L88">
        <v>81.75</v>
      </c>
      <c r="M88">
        <f t="shared" si="17"/>
        <v>-58.25</v>
      </c>
      <c r="N88">
        <f>54+47+23+8</f>
        <v>132</v>
      </c>
      <c r="P88" s="9">
        <v>0.625</v>
      </c>
    </row>
    <row r="89" spans="1:16" ht="15">
      <c r="A89" s="8">
        <v>36735</v>
      </c>
      <c r="B89">
        <v>91</v>
      </c>
      <c r="C89">
        <f t="shared" si="12"/>
        <v>-67.5</v>
      </c>
      <c r="D89">
        <v>81</v>
      </c>
      <c r="E89">
        <f t="shared" si="13"/>
        <v>-58.75</v>
      </c>
      <c r="F89">
        <v>74.25</v>
      </c>
      <c r="G89">
        <f t="shared" si="14"/>
        <v>-53.25</v>
      </c>
      <c r="H89">
        <v>26</v>
      </c>
      <c r="I89">
        <f t="shared" si="15"/>
        <v>-3.5</v>
      </c>
      <c r="J89">
        <v>36</v>
      </c>
      <c r="K89">
        <f t="shared" si="16"/>
        <v>-21.5</v>
      </c>
      <c r="L89">
        <v>87.25</v>
      </c>
      <c r="M89">
        <f t="shared" si="17"/>
        <v>-63.75</v>
      </c>
      <c r="N89">
        <f>51+20+7</f>
        <v>78</v>
      </c>
      <c r="O89" t="s">
        <v>49</v>
      </c>
      <c r="P89" t="s">
        <v>48</v>
      </c>
    </row>
    <row r="90" spans="1:16" ht="15">
      <c r="A90" s="8">
        <v>36740</v>
      </c>
      <c r="B90">
        <v>90.5</v>
      </c>
      <c r="C90">
        <f t="shared" si="12"/>
        <v>-67</v>
      </c>
      <c r="D90">
        <v>81</v>
      </c>
      <c r="E90">
        <f t="shared" si="13"/>
        <v>-58.75</v>
      </c>
      <c r="F90">
        <v>74</v>
      </c>
      <c r="G90">
        <f t="shared" si="14"/>
        <v>-53</v>
      </c>
      <c r="H90">
        <v>25.25</v>
      </c>
      <c r="I90">
        <f t="shared" si="15"/>
        <v>-2.75</v>
      </c>
      <c r="J90">
        <v>36.75</v>
      </c>
      <c r="K90">
        <f t="shared" si="16"/>
        <v>-22.25</v>
      </c>
      <c r="L90">
        <v>87</v>
      </c>
      <c r="M90">
        <f t="shared" si="17"/>
        <v>-63.5</v>
      </c>
      <c r="N90">
        <f>54+28+7</f>
        <v>89</v>
      </c>
      <c r="P90" s="9">
        <v>0.5833333333333334</v>
      </c>
    </row>
    <row r="91" spans="1:16" ht="15">
      <c r="A91" s="8">
        <v>36746</v>
      </c>
      <c r="B91">
        <v>91</v>
      </c>
      <c r="C91">
        <f t="shared" si="12"/>
        <v>-67.5</v>
      </c>
      <c r="D91">
        <v>83</v>
      </c>
      <c r="E91">
        <f t="shared" si="13"/>
        <v>-60.75</v>
      </c>
      <c r="F91">
        <v>75.25</v>
      </c>
      <c r="G91">
        <f t="shared" si="14"/>
        <v>-54.25</v>
      </c>
      <c r="H91">
        <v>26.25</v>
      </c>
      <c r="I91">
        <f t="shared" si="15"/>
        <v>-3.75</v>
      </c>
      <c r="J91">
        <v>37.5</v>
      </c>
      <c r="K91">
        <f t="shared" si="16"/>
        <v>-23</v>
      </c>
      <c r="L91">
        <v>87.75</v>
      </c>
      <c r="M91">
        <f t="shared" si="17"/>
        <v>-64.25</v>
      </c>
      <c r="N91">
        <f>50+20+6</f>
        <v>76</v>
      </c>
      <c r="P91" t="s">
        <v>29</v>
      </c>
    </row>
    <row r="92" spans="1:16" ht="15">
      <c r="A92" s="8">
        <v>36750</v>
      </c>
      <c r="B92">
        <v>92</v>
      </c>
      <c r="C92">
        <f t="shared" si="12"/>
        <v>-68.5</v>
      </c>
      <c r="D92">
        <v>83</v>
      </c>
      <c r="E92">
        <f t="shared" si="13"/>
        <v>-60.75</v>
      </c>
      <c r="F92">
        <v>76</v>
      </c>
      <c r="G92">
        <f t="shared" si="14"/>
        <v>-55</v>
      </c>
      <c r="H92">
        <v>27</v>
      </c>
      <c r="I92">
        <f t="shared" si="15"/>
        <v>-4.5</v>
      </c>
      <c r="J92">
        <v>38.25</v>
      </c>
      <c r="K92">
        <f t="shared" si="16"/>
        <v>-23.75</v>
      </c>
      <c r="L92">
        <v>88.5</v>
      </c>
      <c r="M92">
        <f t="shared" si="17"/>
        <v>-65</v>
      </c>
      <c r="N92">
        <f>50+13+4</f>
        <v>67</v>
      </c>
      <c r="P92" s="9" t="s">
        <v>50</v>
      </c>
    </row>
    <row r="93" spans="1:16" ht="15">
      <c r="A93" s="8">
        <v>36754</v>
      </c>
      <c r="B93">
        <v>91.5</v>
      </c>
      <c r="C93">
        <f t="shared" si="12"/>
        <v>-68</v>
      </c>
      <c r="D93">
        <v>83</v>
      </c>
      <c r="E93">
        <f t="shared" si="13"/>
        <v>-60.75</v>
      </c>
      <c r="F93">
        <v>76.5</v>
      </c>
      <c r="G93">
        <f t="shared" si="14"/>
        <v>-55.5</v>
      </c>
      <c r="H93">
        <v>27</v>
      </c>
      <c r="I93">
        <f t="shared" si="15"/>
        <v>-4.5</v>
      </c>
      <c r="J93">
        <v>38.75</v>
      </c>
      <c r="K93">
        <f t="shared" si="16"/>
        <v>-24.25</v>
      </c>
      <c r="L93">
        <v>88.25</v>
      </c>
      <c r="M93">
        <f t="shared" si="17"/>
        <v>-64.75</v>
      </c>
      <c r="N93">
        <f>49+11+4</f>
        <v>64</v>
      </c>
      <c r="P93" t="s">
        <v>51</v>
      </c>
    </row>
    <row r="94" spans="1:16" ht="15">
      <c r="A94" s="8">
        <v>36776</v>
      </c>
      <c r="B94">
        <v>92</v>
      </c>
      <c r="C94">
        <f t="shared" si="12"/>
        <v>-68.5</v>
      </c>
      <c r="D94">
        <v>83.5</v>
      </c>
      <c r="E94">
        <f t="shared" si="13"/>
        <v>-61.25</v>
      </c>
      <c r="F94">
        <v>77.75</v>
      </c>
      <c r="G94">
        <f t="shared" si="14"/>
        <v>-56.75</v>
      </c>
      <c r="H94">
        <v>27</v>
      </c>
      <c r="I94">
        <f t="shared" si="15"/>
        <v>-4.5</v>
      </c>
      <c r="J94">
        <v>39.25</v>
      </c>
      <c r="K94">
        <f t="shared" si="16"/>
        <v>-24.75</v>
      </c>
      <c r="L94">
        <v>88.5</v>
      </c>
      <c r="M94">
        <f t="shared" si="17"/>
        <v>-65</v>
      </c>
      <c r="N94">
        <f>49+8+3</f>
        <v>60</v>
      </c>
      <c r="P94" s="9" t="s">
        <v>34</v>
      </c>
    </row>
    <row r="95" spans="1:16" ht="15">
      <c r="A95" s="8">
        <v>36800</v>
      </c>
      <c r="B95">
        <v>92</v>
      </c>
      <c r="C95">
        <f t="shared" si="12"/>
        <v>-68.5</v>
      </c>
      <c r="D95">
        <v>83.5</v>
      </c>
      <c r="E95">
        <f t="shared" si="13"/>
        <v>-61.25</v>
      </c>
      <c r="F95">
        <v>77.75</v>
      </c>
      <c r="G95">
        <f t="shared" si="14"/>
        <v>-56.75</v>
      </c>
      <c r="H95">
        <v>26.75</v>
      </c>
      <c r="I95">
        <f t="shared" si="15"/>
        <v>-4.25</v>
      </c>
      <c r="J95">
        <v>39.75</v>
      </c>
      <c r="K95">
        <f t="shared" si="16"/>
        <v>-25.25</v>
      </c>
      <c r="L95">
        <v>89</v>
      </c>
      <c r="M95">
        <f t="shared" si="17"/>
        <v>-65.5</v>
      </c>
      <c r="N95">
        <f>51+6+2</f>
        <v>59</v>
      </c>
      <c r="P95" t="s">
        <v>52</v>
      </c>
    </row>
    <row r="96" spans="1:16" ht="15">
      <c r="A96" s="6">
        <v>37027</v>
      </c>
      <c r="B96">
        <v>89.75</v>
      </c>
      <c r="C96">
        <f t="shared" si="12"/>
        <v>-66.25</v>
      </c>
      <c r="D96">
        <v>81.5</v>
      </c>
      <c r="E96">
        <f t="shared" si="13"/>
        <v>-59.25</v>
      </c>
      <c r="F96">
        <v>74.75</v>
      </c>
      <c r="G96">
        <f t="shared" si="14"/>
        <v>-53.75</v>
      </c>
      <c r="H96">
        <v>27.75</v>
      </c>
      <c r="I96">
        <f t="shared" si="15"/>
        <v>-5.25</v>
      </c>
      <c r="J96">
        <v>40.25</v>
      </c>
      <c r="K96">
        <f t="shared" si="16"/>
        <v>-25.75</v>
      </c>
      <c r="L96">
        <v>85.75</v>
      </c>
      <c r="M96">
        <f t="shared" si="17"/>
        <v>-62.25</v>
      </c>
      <c r="N96">
        <f>50+33.4+44</f>
        <v>127.4</v>
      </c>
      <c r="P96" s="9">
        <v>0.625</v>
      </c>
    </row>
    <row r="97" spans="1:16" ht="15">
      <c r="A97" s="8">
        <v>37049</v>
      </c>
      <c r="B97">
        <v>86.75</v>
      </c>
      <c r="C97">
        <f t="shared" si="12"/>
        <v>-63.25</v>
      </c>
      <c r="D97">
        <v>77</v>
      </c>
      <c r="E97">
        <f t="shared" si="13"/>
        <v>-54.75</v>
      </c>
      <c r="F97">
        <v>68.75</v>
      </c>
      <c r="G97">
        <f t="shared" si="14"/>
        <v>-47.75</v>
      </c>
      <c r="H97">
        <v>23.25</v>
      </c>
      <c r="I97">
        <f t="shared" si="15"/>
        <v>-0.75</v>
      </c>
      <c r="J97">
        <v>35.25</v>
      </c>
      <c r="K97">
        <f t="shared" si="16"/>
        <v>-20.75</v>
      </c>
      <c r="L97">
        <v>81.5</v>
      </c>
      <c r="M97">
        <f t="shared" si="17"/>
        <v>-58</v>
      </c>
      <c r="N97">
        <f>118+12.6+30</f>
        <v>160.6</v>
      </c>
      <c r="P97" s="9">
        <v>0.638888888888889</v>
      </c>
    </row>
    <row r="98" spans="1:16" ht="15">
      <c r="A98" s="8">
        <v>37054</v>
      </c>
      <c r="B98">
        <v>85</v>
      </c>
      <c r="C98">
        <f t="shared" si="12"/>
        <v>-61.5</v>
      </c>
      <c r="D98">
        <v>74</v>
      </c>
      <c r="E98">
        <f t="shared" si="13"/>
        <v>-51.75</v>
      </c>
      <c r="F98">
        <v>63.75</v>
      </c>
      <c r="G98">
        <f t="shared" si="14"/>
        <v>-42.75</v>
      </c>
      <c r="H98">
        <v>21.25</v>
      </c>
      <c r="I98">
        <f t="shared" si="15"/>
        <v>1.25</v>
      </c>
      <c r="J98">
        <v>32.25</v>
      </c>
      <c r="K98">
        <f t="shared" si="16"/>
        <v>-17.75</v>
      </c>
      <c r="L98">
        <v>79.25</v>
      </c>
      <c r="M98">
        <f t="shared" si="17"/>
        <v>-55.75</v>
      </c>
      <c r="N98">
        <f>162+10+25</f>
        <v>197</v>
      </c>
      <c r="P98" s="9" t="s">
        <v>53</v>
      </c>
    </row>
    <row r="99" spans="1:16" ht="15">
      <c r="A99" s="8">
        <v>37078</v>
      </c>
      <c r="B99">
        <v>89.5</v>
      </c>
      <c r="C99">
        <f t="shared" si="12"/>
        <v>-66</v>
      </c>
      <c r="D99">
        <v>81.25</v>
      </c>
      <c r="E99">
        <f t="shared" si="13"/>
        <v>-59</v>
      </c>
      <c r="F99">
        <v>76.25</v>
      </c>
      <c r="G99">
        <f t="shared" si="14"/>
        <v>-55.25</v>
      </c>
      <c r="H99">
        <v>28.5</v>
      </c>
      <c r="I99">
        <f t="shared" si="15"/>
        <v>-6</v>
      </c>
      <c r="J99">
        <v>39.5</v>
      </c>
      <c r="K99">
        <f t="shared" si="16"/>
        <v>-25</v>
      </c>
      <c r="L99">
        <v>86.75</v>
      </c>
      <c r="M99">
        <f t="shared" si="17"/>
        <v>-63.25</v>
      </c>
      <c r="N99">
        <f>52+8.26+29</f>
        <v>89.25999999999999</v>
      </c>
      <c r="P99" s="9">
        <v>0.46527777777777773</v>
      </c>
    </row>
    <row r="100" spans="1:16" ht="15">
      <c r="A100" s="8">
        <v>37082</v>
      </c>
      <c r="B100">
        <v>90.5</v>
      </c>
      <c r="C100">
        <f t="shared" si="12"/>
        <v>-67</v>
      </c>
      <c r="D100">
        <v>86.25</v>
      </c>
      <c r="E100">
        <f t="shared" si="13"/>
        <v>-64</v>
      </c>
      <c r="F100">
        <v>77.25</v>
      </c>
      <c r="G100">
        <f t="shared" si="14"/>
        <v>-56.25</v>
      </c>
      <c r="H100">
        <v>29.5</v>
      </c>
      <c r="I100">
        <f t="shared" si="15"/>
        <v>-7</v>
      </c>
      <c r="J100">
        <v>39.5</v>
      </c>
      <c r="K100">
        <f t="shared" si="16"/>
        <v>-25</v>
      </c>
      <c r="L100">
        <v>88</v>
      </c>
      <c r="M100">
        <f t="shared" si="17"/>
        <v>-64.5</v>
      </c>
      <c r="N100">
        <f>50+21.9+9.59</f>
        <v>81.49000000000001</v>
      </c>
      <c r="P100" s="9">
        <v>0.6756944444444444</v>
      </c>
    </row>
    <row r="101" spans="1:16" ht="15">
      <c r="A101" s="8">
        <v>37087</v>
      </c>
      <c r="B101">
        <v>91.25</v>
      </c>
      <c r="C101">
        <f t="shared" si="12"/>
        <v>-67.75</v>
      </c>
      <c r="D101">
        <v>83.5</v>
      </c>
      <c r="E101">
        <f t="shared" si="13"/>
        <v>-61.25</v>
      </c>
      <c r="F101">
        <v>79</v>
      </c>
      <c r="G101">
        <f t="shared" si="14"/>
        <v>-58</v>
      </c>
      <c r="H101">
        <v>30.5</v>
      </c>
      <c r="I101">
        <f t="shared" si="15"/>
        <v>-8</v>
      </c>
      <c r="J101">
        <v>40.5</v>
      </c>
      <c r="K101">
        <f t="shared" si="16"/>
        <v>-26</v>
      </c>
      <c r="L101">
        <v>89.25</v>
      </c>
      <c r="M101">
        <f t="shared" si="17"/>
        <v>-65.75</v>
      </c>
      <c r="N101">
        <f>51+5.95+16.7</f>
        <v>73.65</v>
      </c>
      <c r="P101" s="9">
        <v>0.5104166666666666</v>
      </c>
    </row>
    <row r="102" spans="1:16" ht="15">
      <c r="A102" s="8">
        <v>37090</v>
      </c>
      <c r="B102">
        <v>91</v>
      </c>
      <c r="C102">
        <f t="shared" si="12"/>
        <v>-67.5</v>
      </c>
      <c r="D102">
        <v>83.75</v>
      </c>
      <c r="E102">
        <f t="shared" si="13"/>
        <v>-61.5</v>
      </c>
      <c r="F102">
        <v>79</v>
      </c>
      <c r="G102">
        <f t="shared" si="14"/>
        <v>-58</v>
      </c>
      <c r="H102">
        <v>30.5</v>
      </c>
      <c r="I102">
        <f t="shared" si="15"/>
        <v>-8</v>
      </c>
      <c r="J102">
        <v>41</v>
      </c>
      <c r="K102">
        <f t="shared" si="16"/>
        <v>-26.5</v>
      </c>
      <c r="L102">
        <v>89.25</v>
      </c>
      <c r="M102">
        <f t="shared" si="17"/>
        <v>-65.75</v>
      </c>
      <c r="N102">
        <f>49+15.5+5.2</f>
        <v>69.7</v>
      </c>
      <c r="P102" s="9">
        <v>0.5416666666666666</v>
      </c>
    </row>
    <row r="103" spans="1:16" ht="15">
      <c r="A103" s="8">
        <v>37093</v>
      </c>
      <c r="B103">
        <v>91</v>
      </c>
      <c r="C103">
        <f t="shared" si="12"/>
        <v>-67.5</v>
      </c>
      <c r="D103">
        <v>83.5</v>
      </c>
      <c r="E103">
        <f t="shared" si="13"/>
        <v>-61.25</v>
      </c>
      <c r="F103">
        <v>79</v>
      </c>
      <c r="G103">
        <f t="shared" si="14"/>
        <v>-58</v>
      </c>
      <c r="H103">
        <v>30.5</v>
      </c>
      <c r="I103">
        <f t="shared" si="15"/>
        <v>-8</v>
      </c>
      <c r="J103">
        <v>41</v>
      </c>
      <c r="K103">
        <f t="shared" si="16"/>
        <v>-26.5</v>
      </c>
      <c r="L103">
        <v>89</v>
      </c>
      <c r="M103">
        <f t="shared" si="17"/>
        <v>-65.5</v>
      </c>
      <c r="N103">
        <f>50+15+4.51</f>
        <v>69.51</v>
      </c>
      <c r="P103" s="9">
        <v>0.3958333333333333</v>
      </c>
    </row>
    <row r="104" spans="1:16" ht="15">
      <c r="A104" s="8">
        <v>37103</v>
      </c>
      <c r="B104">
        <v>92</v>
      </c>
      <c r="C104">
        <f t="shared" si="12"/>
        <v>-68.5</v>
      </c>
      <c r="D104">
        <v>84.75</v>
      </c>
      <c r="E104">
        <f t="shared" si="13"/>
        <v>-62.5</v>
      </c>
      <c r="F104">
        <v>80.25</v>
      </c>
      <c r="G104">
        <f t="shared" si="14"/>
        <v>-59.25</v>
      </c>
      <c r="H104">
        <v>31.5</v>
      </c>
      <c r="I104">
        <f t="shared" si="15"/>
        <v>-9</v>
      </c>
      <c r="J104">
        <v>42.25</v>
      </c>
      <c r="K104">
        <f t="shared" si="16"/>
        <v>-27.75</v>
      </c>
      <c r="L104">
        <v>90</v>
      </c>
      <c r="M104">
        <f t="shared" si="17"/>
        <v>-66.5</v>
      </c>
      <c r="N104">
        <f>52+14.1+3.01</f>
        <v>69.11</v>
      </c>
      <c r="P104" s="9">
        <v>0.625</v>
      </c>
    </row>
    <row r="105" spans="1:16" ht="15">
      <c r="A105" s="8">
        <v>37111</v>
      </c>
      <c r="B105">
        <v>91.5</v>
      </c>
      <c r="C105">
        <f t="shared" si="12"/>
        <v>-68</v>
      </c>
      <c r="D105">
        <v>81</v>
      </c>
      <c r="E105">
        <f t="shared" si="13"/>
        <v>-58.75</v>
      </c>
      <c r="F105">
        <v>80.5</v>
      </c>
      <c r="G105">
        <f t="shared" si="14"/>
        <v>-59.5</v>
      </c>
      <c r="H105">
        <v>7.25</v>
      </c>
      <c r="I105">
        <v>-7.25</v>
      </c>
      <c r="J105">
        <v>42.5</v>
      </c>
      <c r="K105">
        <f t="shared" si="16"/>
        <v>-28</v>
      </c>
      <c r="L105">
        <v>90</v>
      </c>
      <c r="M105">
        <f t="shared" si="17"/>
        <v>-66.5</v>
      </c>
      <c r="N105">
        <f>51+3.46+13.8</f>
        <v>68.26</v>
      </c>
      <c r="P105" s="9">
        <v>0.5</v>
      </c>
    </row>
    <row r="106" spans="1:16" ht="15">
      <c r="A106" s="8">
        <v>37117</v>
      </c>
      <c r="B106">
        <v>91.75</v>
      </c>
      <c r="C106">
        <f t="shared" si="12"/>
        <v>-68.25</v>
      </c>
      <c r="D106">
        <v>84.5</v>
      </c>
      <c r="E106">
        <f t="shared" si="13"/>
        <v>-62.25</v>
      </c>
      <c r="F106">
        <v>80.25</v>
      </c>
      <c r="G106">
        <f t="shared" si="14"/>
        <v>-59.25</v>
      </c>
      <c r="H106">
        <v>7.5</v>
      </c>
      <c r="I106">
        <v>-7.5</v>
      </c>
      <c r="J106">
        <v>42.25</v>
      </c>
      <c r="K106">
        <f t="shared" si="16"/>
        <v>-27.75</v>
      </c>
      <c r="L106">
        <v>90</v>
      </c>
      <c r="M106">
        <f t="shared" si="17"/>
        <v>-66.5</v>
      </c>
      <c r="N106">
        <f>51+3.06+14.1</f>
        <v>68.16</v>
      </c>
      <c r="P106" s="9">
        <v>0.5416666666666666</v>
      </c>
    </row>
    <row r="107" spans="1:16" ht="15">
      <c r="A107" s="8">
        <v>37124</v>
      </c>
      <c r="B107">
        <v>92</v>
      </c>
      <c r="C107">
        <f t="shared" si="12"/>
        <v>-68.5</v>
      </c>
      <c r="D107">
        <v>86</v>
      </c>
      <c r="E107">
        <f t="shared" si="13"/>
        <v>-63.75</v>
      </c>
      <c r="F107">
        <v>81.75</v>
      </c>
      <c r="G107">
        <f t="shared" si="14"/>
        <v>-60.75</v>
      </c>
      <c r="H107">
        <v>8.5</v>
      </c>
      <c r="I107">
        <v>-8.5</v>
      </c>
      <c r="J107">
        <v>43</v>
      </c>
      <c r="K107">
        <f t="shared" si="16"/>
        <v>-28.5</v>
      </c>
      <c r="L107">
        <v>91</v>
      </c>
      <c r="M107">
        <f t="shared" si="17"/>
        <v>-67.5</v>
      </c>
      <c r="N107">
        <f>50+2.12+12.4</f>
        <v>64.52</v>
      </c>
      <c r="P107" s="9">
        <v>0.5416666666666666</v>
      </c>
    </row>
    <row r="108" spans="1:16" ht="15">
      <c r="A108" s="8">
        <v>37131</v>
      </c>
      <c r="B108">
        <v>92</v>
      </c>
      <c r="C108">
        <f t="shared" si="12"/>
        <v>-68.5</v>
      </c>
      <c r="D108">
        <v>85.75</v>
      </c>
      <c r="E108">
        <f t="shared" si="13"/>
        <v>-63.5</v>
      </c>
      <c r="F108">
        <v>82</v>
      </c>
      <c r="G108">
        <f t="shared" si="14"/>
        <v>-61</v>
      </c>
      <c r="H108">
        <v>8</v>
      </c>
      <c r="I108">
        <v>-8</v>
      </c>
      <c r="J108">
        <v>43</v>
      </c>
      <c r="K108">
        <f t="shared" si="16"/>
        <v>-28.5</v>
      </c>
      <c r="L108">
        <v>91</v>
      </c>
      <c r="M108">
        <f t="shared" si="17"/>
        <v>-67.5</v>
      </c>
      <c r="N108">
        <f>51+1.32+10.4</f>
        <v>62.72</v>
      </c>
      <c r="P108" s="9">
        <v>0.6458333333333334</v>
      </c>
    </row>
    <row r="109" spans="1:16" ht="15">
      <c r="A109" s="8">
        <v>37152</v>
      </c>
      <c r="B109">
        <v>92</v>
      </c>
      <c r="C109">
        <f t="shared" si="12"/>
        <v>-68.5</v>
      </c>
      <c r="D109">
        <v>86</v>
      </c>
      <c r="E109">
        <f t="shared" si="13"/>
        <v>-63.75</v>
      </c>
      <c r="F109">
        <v>82.5</v>
      </c>
      <c r="G109">
        <f t="shared" si="14"/>
        <v>-61.5</v>
      </c>
      <c r="H109">
        <v>32.75</v>
      </c>
      <c r="I109">
        <f t="shared" si="15"/>
        <v>-10.25</v>
      </c>
      <c r="J109">
        <v>43.75</v>
      </c>
      <c r="K109">
        <f t="shared" si="16"/>
        <v>-29.25</v>
      </c>
      <c r="L109">
        <v>91</v>
      </c>
      <c r="M109">
        <f t="shared" si="17"/>
        <v>-67.5</v>
      </c>
      <c r="N109">
        <f>52+2.76+13.1</f>
        <v>67.86</v>
      </c>
      <c r="P109" s="9">
        <v>0.5208333333333334</v>
      </c>
    </row>
    <row r="110" spans="1:16" ht="15">
      <c r="A110" s="8">
        <v>37177</v>
      </c>
      <c r="B110">
        <v>92.5</v>
      </c>
      <c r="C110">
        <f>-(B110-23.5)</f>
        <v>-69</v>
      </c>
      <c r="D110">
        <v>87</v>
      </c>
      <c r="E110">
        <f>-(D110-22.25)</f>
        <v>-64.75</v>
      </c>
      <c r="F110">
        <v>84</v>
      </c>
      <c r="G110">
        <f>-(F110-21)</f>
        <v>-63</v>
      </c>
      <c r="H110">
        <v>34</v>
      </c>
      <c r="I110">
        <f>-(H110-22.5)</f>
        <v>-11.5</v>
      </c>
      <c r="J110">
        <v>44.75</v>
      </c>
      <c r="K110">
        <f>-(J110-14.5)</f>
        <v>-30.25</v>
      </c>
      <c r="L110">
        <v>91.5</v>
      </c>
      <c r="M110">
        <f aca="true" t="shared" si="18" ref="M110:M120">-(L110-23.5)</f>
        <v>-68</v>
      </c>
      <c r="N110">
        <f>49+4.01+2</f>
        <v>55.01</v>
      </c>
      <c r="P110" s="9">
        <v>0.5416666666666666</v>
      </c>
    </row>
    <row r="111" spans="1:16" ht="15">
      <c r="A111" s="8">
        <v>37314</v>
      </c>
      <c r="B111" t="s">
        <v>54</v>
      </c>
      <c r="D111">
        <v>91.25</v>
      </c>
      <c r="E111">
        <f>-(D111-22.25)</f>
        <v>-69</v>
      </c>
      <c r="F111">
        <v>86.5</v>
      </c>
      <c r="G111">
        <f>-(F111-21)</f>
        <v>-65.5</v>
      </c>
      <c r="H111">
        <v>34.75</v>
      </c>
      <c r="I111">
        <f>-(H111-22.5)</f>
        <v>-12.25</v>
      </c>
      <c r="J111">
        <v>47.75</v>
      </c>
      <c r="K111">
        <f>-(J111-14.5)</f>
        <v>-33.25</v>
      </c>
      <c r="L111">
        <v>91.5</v>
      </c>
      <c r="M111">
        <f t="shared" si="18"/>
        <v>-68</v>
      </c>
      <c r="N111">
        <f>3+2+66-21</f>
        <v>50</v>
      </c>
      <c r="P111" s="9">
        <v>0.1423611111111111</v>
      </c>
    </row>
    <row r="112" spans="1:17" ht="15">
      <c r="A112" s="6">
        <v>37392</v>
      </c>
      <c r="B112">
        <v>93</v>
      </c>
      <c r="C112">
        <f>-(B112-25.5)</f>
        <v>-67.5</v>
      </c>
      <c r="D112">
        <v>87</v>
      </c>
      <c r="E112">
        <f>-(D112-22)</f>
        <v>-65</v>
      </c>
      <c r="F112">
        <v>87</v>
      </c>
      <c r="G112">
        <f>-(F112-22.5)</f>
        <v>-64.5</v>
      </c>
      <c r="H112">
        <v>33.25</v>
      </c>
      <c r="I112">
        <f>-(H112-23.5)</f>
        <v>-9.75</v>
      </c>
      <c r="J112">
        <v>44.75</v>
      </c>
      <c r="K112">
        <f>-(J112-15.5)</f>
        <v>-29.25</v>
      </c>
      <c r="L112">
        <v>90.75</v>
      </c>
      <c r="M112">
        <f t="shared" si="18"/>
        <v>-67.25</v>
      </c>
      <c r="N112">
        <f>9+1+50</f>
        <v>60</v>
      </c>
      <c r="P112" t="s">
        <v>55</v>
      </c>
      <c r="Q112" t="s">
        <v>56</v>
      </c>
    </row>
    <row r="113" spans="1:16" ht="15">
      <c r="A113" s="8">
        <v>37394</v>
      </c>
      <c r="B113">
        <v>91.75</v>
      </c>
      <c r="C113">
        <f>-(B113-25.5)</f>
        <v>-66.25</v>
      </c>
      <c r="D113">
        <v>86</v>
      </c>
      <c r="E113">
        <f>-(D113-22)</f>
        <v>-64</v>
      </c>
      <c r="F113">
        <v>81.25</v>
      </c>
      <c r="G113">
        <f>-(F113-22.5)</f>
        <v>-58.75</v>
      </c>
      <c r="H113">
        <v>32.5</v>
      </c>
      <c r="I113">
        <f>-(H113-23.5)</f>
        <v>-9</v>
      </c>
      <c r="J113">
        <v>45</v>
      </c>
      <c r="K113">
        <f>-(J113-15.5)</f>
        <v>-29.5</v>
      </c>
      <c r="L113">
        <v>89.75</v>
      </c>
      <c r="M113">
        <f t="shared" si="18"/>
        <v>-66.25</v>
      </c>
      <c r="N113">
        <f>15+1+50</f>
        <v>66</v>
      </c>
      <c r="P113" s="9">
        <v>0.375</v>
      </c>
    </row>
    <row r="114" spans="1:16" ht="15">
      <c r="A114" s="8">
        <v>37397</v>
      </c>
      <c r="B114">
        <v>91</v>
      </c>
      <c r="C114">
        <f aca="true" t="shared" si="19" ref="C114:C150">-(B114-25.5)</f>
        <v>-65.5</v>
      </c>
      <c r="D114">
        <v>85</v>
      </c>
      <c r="E114">
        <f aca="true" t="shared" si="20" ref="E114:E184">-(D114-22)</f>
        <v>-63</v>
      </c>
      <c r="F114">
        <v>79.25</v>
      </c>
      <c r="G114">
        <f aca="true" t="shared" si="21" ref="G114:G184">-(F114-22.5)</f>
        <v>-56.75</v>
      </c>
      <c r="H114">
        <v>30.75</v>
      </c>
      <c r="I114">
        <f aca="true" t="shared" si="22" ref="I114:I184">-(H114-23.5)</f>
        <v>-7.25</v>
      </c>
      <c r="J114">
        <v>42.5</v>
      </c>
      <c r="K114">
        <f aca="true" t="shared" si="23" ref="K114:K184">-(J114-15.5)</f>
        <v>-27</v>
      </c>
      <c r="L114">
        <v>88.5</v>
      </c>
      <c r="M114">
        <f t="shared" si="18"/>
        <v>-65</v>
      </c>
      <c r="N114">
        <f>17+12+50</f>
        <v>79</v>
      </c>
      <c r="P114" t="s">
        <v>57</v>
      </c>
    </row>
    <row r="115" spans="1:16" ht="15">
      <c r="A115" s="8">
        <v>37401</v>
      </c>
      <c r="B115">
        <v>91.75</v>
      </c>
      <c r="C115">
        <f t="shared" si="19"/>
        <v>-66.25</v>
      </c>
      <c r="D115">
        <v>85</v>
      </c>
      <c r="E115">
        <f t="shared" si="20"/>
        <v>-63</v>
      </c>
      <c r="F115">
        <v>80.25</v>
      </c>
      <c r="G115">
        <f t="shared" si="21"/>
        <v>-57.75</v>
      </c>
      <c r="H115">
        <v>32.25</v>
      </c>
      <c r="I115">
        <f t="shared" si="22"/>
        <v>-8.75</v>
      </c>
      <c r="J115">
        <v>43.25</v>
      </c>
      <c r="K115">
        <f t="shared" si="23"/>
        <v>-27.75</v>
      </c>
      <c r="L115">
        <v>89.75</v>
      </c>
      <c r="M115">
        <f t="shared" si="18"/>
        <v>-66.25</v>
      </c>
      <c r="N115">
        <f>49+11+8</f>
        <v>68</v>
      </c>
      <c r="P115" s="9">
        <v>0.638888888888889</v>
      </c>
    </row>
    <row r="116" spans="1:16" ht="15">
      <c r="A116" s="8">
        <v>37420</v>
      </c>
      <c r="B116">
        <v>85.5</v>
      </c>
      <c r="C116">
        <f t="shared" si="19"/>
        <v>-60</v>
      </c>
      <c r="D116">
        <v>72.5</v>
      </c>
      <c r="E116">
        <f t="shared" si="20"/>
        <v>-50.5</v>
      </c>
      <c r="F116">
        <v>61.75</v>
      </c>
      <c r="G116">
        <f t="shared" si="21"/>
        <v>-39.25</v>
      </c>
      <c r="H116">
        <v>21.75</v>
      </c>
      <c r="I116">
        <f t="shared" si="22"/>
        <v>1.75</v>
      </c>
      <c r="J116">
        <v>34.75</v>
      </c>
      <c r="K116">
        <f t="shared" si="23"/>
        <v>-19.25</v>
      </c>
      <c r="L116">
        <v>79.75</v>
      </c>
      <c r="M116">
        <f t="shared" si="18"/>
        <v>-56.25</v>
      </c>
      <c r="N116">
        <f>141+24+14</f>
        <v>179</v>
      </c>
      <c r="P116" s="9">
        <v>0.5930555555555556</v>
      </c>
    </row>
    <row r="117" spans="1:16" ht="15">
      <c r="A117" s="8">
        <v>37434</v>
      </c>
      <c r="B117">
        <v>90.25</v>
      </c>
      <c r="C117">
        <f t="shared" si="19"/>
        <v>-64.75</v>
      </c>
      <c r="D117">
        <v>82.5</v>
      </c>
      <c r="E117">
        <f t="shared" si="20"/>
        <v>-60.5</v>
      </c>
      <c r="F117">
        <v>75.5</v>
      </c>
      <c r="G117">
        <f t="shared" si="21"/>
        <v>-53</v>
      </c>
      <c r="H117">
        <v>29.25</v>
      </c>
      <c r="I117">
        <f t="shared" si="22"/>
        <v>-5.75</v>
      </c>
      <c r="J117">
        <v>40.25</v>
      </c>
      <c r="K117">
        <f t="shared" si="23"/>
        <v>-24.75</v>
      </c>
      <c r="L117">
        <v>87.5</v>
      </c>
      <c r="M117">
        <f t="shared" si="18"/>
        <v>-64</v>
      </c>
      <c r="N117">
        <f>49+29+13</f>
        <v>91</v>
      </c>
      <c r="P117" t="s">
        <v>29</v>
      </c>
    </row>
    <row r="118" spans="1:16" ht="15">
      <c r="A118" s="8">
        <v>37448</v>
      </c>
      <c r="B118">
        <v>90.75</v>
      </c>
      <c r="C118">
        <f t="shared" si="19"/>
        <v>-65.25</v>
      </c>
      <c r="D118">
        <v>83</v>
      </c>
      <c r="E118">
        <f t="shared" si="20"/>
        <v>-61</v>
      </c>
      <c r="F118">
        <v>78.25</v>
      </c>
      <c r="G118">
        <f t="shared" si="21"/>
        <v>-55.75</v>
      </c>
      <c r="H118">
        <v>30.25</v>
      </c>
      <c r="I118">
        <f t="shared" si="22"/>
        <v>-6.75</v>
      </c>
      <c r="J118">
        <v>41.75</v>
      </c>
      <c r="K118">
        <f t="shared" si="23"/>
        <v>-26.25</v>
      </c>
      <c r="L118">
        <v>88.5</v>
      </c>
      <c r="M118">
        <f t="shared" si="18"/>
        <v>-65</v>
      </c>
      <c r="N118">
        <f>50+21+8</f>
        <v>79</v>
      </c>
      <c r="P118" t="s">
        <v>58</v>
      </c>
    </row>
    <row r="119" spans="1:16" ht="15">
      <c r="A119" s="8">
        <v>37462</v>
      </c>
      <c r="B119">
        <v>91.5</v>
      </c>
      <c r="C119">
        <f t="shared" si="19"/>
        <v>-66</v>
      </c>
      <c r="D119">
        <v>86.5</v>
      </c>
      <c r="E119">
        <f t="shared" si="20"/>
        <v>-64.5</v>
      </c>
      <c r="F119">
        <v>80.75</v>
      </c>
      <c r="G119">
        <f t="shared" si="21"/>
        <v>-58.25</v>
      </c>
      <c r="H119">
        <v>32</v>
      </c>
      <c r="I119">
        <f t="shared" si="22"/>
        <v>-8.5</v>
      </c>
      <c r="J119">
        <v>42.5</v>
      </c>
      <c r="K119">
        <f t="shared" si="23"/>
        <v>-27</v>
      </c>
      <c r="L119">
        <v>89.5</v>
      </c>
      <c r="M119">
        <f t="shared" si="18"/>
        <v>-66</v>
      </c>
      <c r="N119">
        <f>50+13+5</f>
        <v>68</v>
      </c>
      <c r="P119" t="s">
        <v>59</v>
      </c>
    </row>
    <row r="120" spans="1:16" ht="15">
      <c r="A120" s="8">
        <v>37476</v>
      </c>
      <c r="B120">
        <v>92.5</v>
      </c>
      <c r="C120">
        <f t="shared" si="19"/>
        <v>-67</v>
      </c>
      <c r="D120">
        <v>86</v>
      </c>
      <c r="E120">
        <f t="shared" si="20"/>
        <v>-64</v>
      </c>
      <c r="F120">
        <v>82.75</v>
      </c>
      <c r="G120">
        <f t="shared" si="21"/>
        <v>-60.25</v>
      </c>
      <c r="H120">
        <v>32.75</v>
      </c>
      <c r="I120">
        <f t="shared" si="22"/>
        <v>-9.25</v>
      </c>
      <c r="J120">
        <v>44</v>
      </c>
      <c r="K120">
        <f t="shared" si="23"/>
        <v>-28.5</v>
      </c>
      <c r="L120">
        <v>89.75</v>
      </c>
      <c r="M120">
        <f t="shared" si="18"/>
        <v>-66.25</v>
      </c>
      <c r="N120">
        <f>50+10+3</f>
        <v>63</v>
      </c>
      <c r="P120" t="s">
        <v>60</v>
      </c>
    </row>
    <row r="121" spans="1:16" ht="15">
      <c r="A121" s="8">
        <v>37510</v>
      </c>
      <c r="B121" t="s">
        <v>63</v>
      </c>
      <c r="D121">
        <v>88.5</v>
      </c>
      <c r="E121">
        <f t="shared" si="20"/>
        <v>-66.5</v>
      </c>
      <c r="F121">
        <v>85</v>
      </c>
      <c r="G121">
        <f t="shared" si="21"/>
        <v>-62.5</v>
      </c>
      <c r="H121">
        <v>35</v>
      </c>
      <c r="I121">
        <f t="shared" si="22"/>
        <v>-11.5</v>
      </c>
      <c r="J121">
        <v>45.25</v>
      </c>
      <c r="K121">
        <f t="shared" si="23"/>
        <v>-29.75</v>
      </c>
      <c r="L121" t="s">
        <v>64</v>
      </c>
      <c r="N121">
        <f>5+2+63-14</f>
        <v>56</v>
      </c>
      <c r="P121" t="s">
        <v>61</v>
      </c>
    </row>
    <row r="122" spans="1:16" ht="15">
      <c r="A122" s="8">
        <v>37530</v>
      </c>
      <c r="B122">
        <v>92.25</v>
      </c>
      <c r="C122">
        <f t="shared" si="19"/>
        <v>-66.75</v>
      </c>
      <c r="D122">
        <v>88</v>
      </c>
      <c r="E122">
        <f t="shared" si="20"/>
        <v>-66</v>
      </c>
      <c r="F122">
        <v>85.5</v>
      </c>
      <c r="G122">
        <f t="shared" si="21"/>
        <v>-63</v>
      </c>
      <c r="H122">
        <v>34.75</v>
      </c>
      <c r="I122">
        <f t="shared" si="22"/>
        <v>-11.25</v>
      </c>
      <c r="J122">
        <v>45.5</v>
      </c>
      <c r="K122">
        <f t="shared" si="23"/>
        <v>-30</v>
      </c>
      <c r="L122">
        <v>91.5</v>
      </c>
      <c r="M122">
        <f>-(L122-23.5)</f>
        <v>-68</v>
      </c>
      <c r="N122">
        <f>4+1+83-34</f>
        <v>54</v>
      </c>
      <c r="P122" t="s">
        <v>62</v>
      </c>
    </row>
    <row r="123" spans="1:17" ht="15">
      <c r="A123" s="8">
        <v>37574</v>
      </c>
      <c r="B123">
        <v>93</v>
      </c>
      <c r="C123">
        <f t="shared" si="19"/>
        <v>-67.5</v>
      </c>
      <c r="D123">
        <v>89.75</v>
      </c>
      <c r="E123">
        <f t="shared" si="20"/>
        <v>-67.75</v>
      </c>
      <c r="F123">
        <v>86.75</v>
      </c>
      <c r="G123">
        <f t="shared" si="21"/>
        <v>-64.25</v>
      </c>
      <c r="H123">
        <v>34</v>
      </c>
      <c r="I123">
        <f t="shared" si="22"/>
        <v>-10.5</v>
      </c>
      <c r="J123">
        <v>44.75</v>
      </c>
      <c r="K123">
        <f t="shared" si="23"/>
        <v>-29.25</v>
      </c>
      <c r="L123">
        <v>90.5</v>
      </c>
      <c r="M123">
        <f>-(L123-23.5)</f>
        <v>-67</v>
      </c>
      <c r="N123">
        <f>3+10+86-35</f>
        <v>64</v>
      </c>
      <c r="P123" t="s">
        <v>65</v>
      </c>
      <c r="Q123" t="s">
        <v>66</v>
      </c>
    </row>
    <row r="124" spans="1:17" ht="15">
      <c r="A124" s="8">
        <v>37734</v>
      </c>
      <c r="B124" t="s">
        <v>38</v>
      </c>
      <c r="D124">
        <v>93.5</v>
      </c>
      <c r="E124">
        <f t="shared" si="20"/>
        <v>-71.5</v>
      </c>
      <c r="F124">
        <v>90.25</v>
      </c>
      <c r="G124">
        <f t="shared" si="21"/>
        <v>-67.75</v>
      </c>
      <c r="H124">
        <v>37.75</v>
      </c>
      <c r="I124">
        <f t="shared" si="22"/>
        <v>-14.25</v>
      </c>
      <c r="J124">
        <v>49.75</v>
      </c>
      <c r="K124">
        <f t="shared" si="23"/>
        <v>-34.25</v>
      </c>
      <c r="L124" t="s">
        <v>38</v>
      </c>
      <c r="N124">
        <v>43</v>
      </c>
      <c r="P124" t="s">
        <v>45</v>
      </c>
      <c r="Q124" t="s">
        <v>67</v>
      </c>
    </row>
    <row r="125" spans="1:16" ht="15">
      <c r="A125" s="8">
        <v>37758</v>
      </c>
      <c r="B125" t="s">
        <v>38</v>
      </c>
      <c r="D125">
        <v>91.75</v>
      </c>
      <c r="E125">
        <f t="shared" si="20"/>
        <v>-69.75</v>
      </c>
      <c r="F125">
        <v>88</v>
      </c>
      <c r="G125">
        <f t="shared" si="21"/>
        <v>-65.5</v>
      </c>
      <c r="H125">
        <v>36.75</v>
      </c>
      <c r="I125">
        <f t="shared" si="22"/>
        <v>-13.25</v>
      </c>
      <c r="J125">
        <v>49.5</v>
      </c>
      <c r="K125">
        <f t="shared" si="23"/>
        <v>-34</v>
      </c>
      <c r="L125" t="s">
        <v>38</v>
      </c>
      <c r="N125">
        <v>53</v>
      </c>
      <c r="P125" t="s">
        <v>68</v>
      </c>
    </row>
    <row r="126" spans="1:17" ht="15">
      <c r="A126" s="8">
        <v>37771</v>
      </c>
      <c r="B126">
        <v>85</v>
      </c>
      <c r="C126">
        <f t="shared" si="19"/>
        <v>-59.5</v>
      </c>
      <c r="D126">
        <v>74.75</v>
      </c>
      <c r="E126">
        <f t="shared" si="20"/>
        <v>-52.75</v>
      </c>
      <c r="F126">
        <v>61</v>
      </c>
      <c r="G126">
        <f t="shared" si="21"/>
        <v>-38.5</v>
      </c>
      <c r="H126">
        <v>19.75</v>
      </c>
      <c r="I126">
        <f t="shared" si="22"/>
        <v>3.75</v>
      </c>
      <c r="J126">
        <v>35</v>
      </c>
      <c r="K126">
        <f t="shared" si="23"/>
        <v>-19.5</v>
      </c>
      <c r="L126">
        <v>77.75</v>
      </c>
      <c r="M126">
        <f aca="true" t="shared" si="24" ref="M126:M151">-(L126-23.5)</f>
        <v>-54.25</v>
      </c>
      <c r="N126">
        <v>219</v>
      </c>
      <c r="P126" t="s">
        <v>69</v>
      </c>
      <c r="Q126" t="s">
        <v>70</v>
      </c>
    </row>
    <row r="127" spans="1:17" ht="15">
      <c r="A127" s="8">
        <v>37772</v>
      </c>
      <c r="B127">
        <v>83.5</v>
      </c>
      <c r="C127">
        <f t="shared" si="19"/>
        <v>-58</v>
      </c>
      <c r="D127">
        <v>72.25</v>
      </c>
      <c r="E127">
        <f t="shared" si="20"/>
        <v>-50.25</v>
      </c>
      <c r="F127">
        <v>60.25</v>
      </c>
      <c r="G127">
        <f t="shared" si="21"/>
        <v>-37.75</v>
      </c>
      <c r="H127">
        <v>19.5</v>
      </c>
      <c r="I127">
        <f t="shared" si="22"/>
        <v>4</v>
      </c>
      <c r="J127">
        <v>33.25</v>
      </c>
      <c r="K127">
        <f t="shared" si="23"/>
        <v>-17.75</v>
      </c>
      <c r="L127">
        <v>76.75</v>
      </c>
      <c r="M127">
        <f t="shared" si="24"/>
        <v>-53.25</v>
      </c>
      <c r="N127">
        <v>239</v>
      </c>
      <c r="P127" s="9">
        <v>0.4895833333333333</v>
      </c>
      <c r="Q127" t="s">
        <v>71</v>
      </c>
    </row>
    <row r="128" spans="1:16" ht="15">
      <c r="A128" s="8">
        <v>37775</v>
      </c>
      <c r="B128">
        <v>81.75</v>
      </c>
      <c r="C128">
        <f t="shared" si="19"/>
        <v>-56.25</v>
      </c>
      <c r="D128">
        <v>68.75</v>
      </c>
      <c r="E128">
        <f t="shared" si="20"/>
        <v>-46.75</v>
      </c>
      <c r="F128">
        <v>57</v>
      </c>
      <c r="G128">
        <f t="shared" si="21"/>
        <v>-34.5</v>
      </c>
      <c r="H128">
        <v>18.25</v>
      </c>
      <c r="I128">
        <f t="shared" si="22"/>
        <v>5.25</v>
      </c>
      <c r="L128">
        <v>74.75</v>
      </c>
      <c r="M128">
        <f t="shared" si="24"/>
        <v>-51.25</v>
      </c>
      <c r="N128">
        <v>283</v>
      </c>
      <c r="P128" s="9">
        <v>0.4791666666666667</v>
      </c>
    </row>
    <row r="129" spans="1:16" ht="15">
      <c r="A129" s="8">
        <v>37778</v>
      </c>
      <c r="B129">
        <v>81.25</v>
      </c>
      <c r="C129">
        <f t="shared" si="19"/>
        <v>-55.75</v>
      </c>
      <c r="D129">
        <v>68.75</v>
      </c>
      <c r="E129">
        <f t="shared" si="20"/>
        <v>-46.75</v>
      </c>
      <c r="F129">
        <v>58.25</v>
      </c>
      <c r="G129">
        <f t="shared" si="21"/>
        <v>-35.75</v>
      </c>
      <c r="H129">
        <v>18.75</v>
      </c>
      <c r="I129">
        <f t="shared" si="22"/>
        <v>4.75</v>
      </c>
      <c r="J129">
        <v>29.5</v>
      </c>
      <c r="K129">
        <f t="shared" si="23"/>
        <v>-14</v>
      </c>
      <c r="L129">
        <v>75</v>
      </c>
      <c r="M129">
        <f t="shared" si="24"/>
        <v>-51.5</v>
      </c>
      <c r="N129">
        <v>279</v>
      </c>
      <c r="P129" t="s">
        <v>72</v>
      </c>
    </row>
    <row r="130" spans="1:16" ht="15">
      <c r="A130" s="8">
        <v>37797</v>
      </c>
      <c r="B130">
        <v>90.5</v>
      </c>
      <c r="C130">
        <f t="shared" si="19"/>
        <v>-65</v>
      </c>
      <c r="D130">
        <v>84.5</v>
      </c>
      <c r="E130">
        <f t="shared" si="20"/>
        <v>-62.5</v>
      </c>
      <c r="F130">
        <v>81.5</v>
      </c>
      <c r="G130">
        <f t="shared" si="21"/>
        <v>-59</v>
      </c>
      <c r="H130">
        <v>34.5</v>
      </c>
      <c r="I130">
        <f t="shared" si="22"/>
        <v>-11</v>
      </c>
      <c r="J130">
        <v>42.5</v>
      </c>
      <c r="K130">
        <f t="shared" si="23"/>
        <v>-27</v>
      </c>
      <c r="L130">
        <v>88.25</v>
      </c>
      <c r="M130">
        <f t="shared" si="24"/>
        <v>-64.75</v>
      </c>
      <c r="N130">
        <v>86</v>
      </c>
      <c r="P130" s="9">
        <v>0.4236111111111111</v>
      </c>
    </row>
    <row r="131" spans="1:16" ht="15">
      <c r="A131" s="8">
        <v>37812</v>
      </c>
      <c r="B131">
        <v>92</v>
      </c>
      <c r="C131">
        <f t="shared" si="19"/>
        <v>-66.5</v>
      </c>
      <c r="D131">
        <v>87</v>
      </c>
      <c r="E131">
        <f t="shared" si="20"/>
        <v>-65</v>
      </c>
      <c r="F131">
        <v>83.75</v>
      </c>
      <c r="G131">
        <f t="shared" si="21"/>
        <v>-61.25</v>
      </c>
      <c r="H131">
        <v>36</v>
      </c>
      <c r="I131">
        <f t="shared" si="22"/>
        <v>-12.5</v>
      </c>
      <c r="J131">
        <v>45.25</v>
      </c>
      <c r="K131">
        <f t="shared" si="23"/>
        <v>-29.75</v>
      </c>
      <c r="L131">
        <v>89.75</v>
      </c>
      <c r="M131">
        <f t="shared" si="24"/>
        <v>-66.25</v>
      </c>
      <c r="N131">
        <v>82</v>
      </c>
      <c r="P131" s="9">
        <v>0.6180555555555556</v>
      </c>
    </row>
    <row r="132" spans="1:16" ht="15">
      <c r="A132" s="8">
        <v>37826</v>
      </c>
      <c r="B132">
        <v>91</v>
      </c>
      <c r="C132">
        <f t="shared" si="19"/>
        <v>-65.5</v>
      </c>
      <c r="D132">
        <v>86.25</v>
      </c>
      <c r="E132">
        <f t="shared" si="20"/>
        <v>-64.25</v>
      </c>
      <c r="F132">
        <v>83</v>
      </c>
      <c r="G132">
        <f t="shared" si="21"/>
        <v>-60.5</v>
      </c>
      <c r="H132">
        <v>35.5</v>
      </c>
      <c r="I132">
        <f t="shared" si="22"/>
        <v>-12</v>
      </c>
      <c r="J132">
        <v>45.5</v>
      </c>
      <c r="K132">
        <f t="shared" si="23"/>
        <v>-30</v>
      </c>
      <c r="L132">
        <v>89.25</v>
      </c>
      <c r="M132">
        <f t="shared" si="24"/>
        <v>-65.75</v>
      </c>
      <c r="N132">
        <v>83</v>
      </c>
      <c r="P132" s="9">
        <v>0.5520833333333334</v>
      </c>
    </row>
    <row r="133" spans="1:16" ht="15">
      <c r="A133" s="8">
        <v>37852</v>
      </c>
      <c r="B133">
        <v>93.25</v>
      </c>
      <c r="C133">
        <f t="shared" si="19"/>
        <v>-67.75</v>
      </c>
      <c r="D133">
        <v>89.25</v>
      </c>
      <c r="E133">
        <f t="shared" si="20"/>
        <v>-67.25</v>
      </c>
      <c r="F133">
        <v>87.25</v>
      </c>
      <c r="G133">
        <f t="shared" si="21"/>
        <v>-64.75</v>
      </c>
      <c r="H133">
        <v>39.5</v>
      </c>
      <c r="I133">
        <f t="shared" si="22"/>
        <v>-16</v>
      </c>
      <c r="J133">
        <v>48.5</v>
      </c>
      <c r="K133">
        <f t="shared" si="23"/>
        <v>-33</v>
      </c>
      <c r="L133">
        <v>92</v>
      </c>
      <c r="M133">
        <f t="shared" si="24"/>
        <v>-68.5</v>
      </c>
      <c r="N133">
        <v>64</v>
      </c>
      <c r="P133" s="9">
        <v>0.5694444444444444</v>
      </c>
    </row>
    <row r="134" spans="1:16" ht="15">
      <c r="A134" s="8">
        <v>37853</v>
      </c>
      <c r="B134" t="s">
        <v>38</v>
      </c>
      <c r="D134">
        <v>89.25</v>
      </c>
      <c r="E134">
        <f t="shared" si="20"/>
        <v>-67.25</v>
      </c>
      <c r="F134">
        <v>87.25</v>
      </c>
      <c r="G134">
        <f t="shared" si="21"/>
        <v>-64.75</v>
      </c>
      <c r="H134">
        <v>39.5</v>
      </c>
      <c r="I134">
        <f t="shared" si="22"/>
        <v>-16</v>
      </c>
      <c r="J134">
        <v>48.5</v>
      </c>
      <c r="K134">
        <f t="shared" si="23"/>
        <v>-33</v>
      </c>
      <c r="L134">
        <v>92</v>
      </c>
      <c r="M134">
        <f t="shared" si="24"/>
        <v>-68.5</v>
      </c>
      <c r="N134">
        <v>63</v>
      </c>
      <c r="P134" s="9">
        <v>0.5625</v>
      </c>
    </row>
    <row r="135" spans="1:16" ht="15">
      <c r="A135" s="8">
        <v>37854</v>
      </c>
      <c r="B135">
        <v>93.25</v>
      </c>
      <c r="C135">
        <f t="shared" si="19"/>
        <v>-67.75</v>
      </c>
      <c r="D135">
        <v>89.25</v>
      </c>
      <c r="E135">
        <f t="shared" si="20"/>
        <v>-67.25</v>
      </c>
      <c r="F135">
        <v>87.5</v>
      </c>
      <c r="G135">
        <f t="shared" si="21"/>
        <v>-65</v>
      </c>
      <c r="H135">
        <v>41.25</v>
      </c>
      <c r="I135">
        <f t="shared" si="22"/>
        <v>-17.75</v>
      </c>
      <c r="J135">
        <v>49</v>
      </c>
      <c r="K135">
        <f t="shared" si="23"/>
        <v>-33.5</v>
      </c>
      <c r="L135" t="s">
        <v>38</v>
      </c>
      <c r="N135">
        <v>48</v>
      </c>
      <c r="P135" s="9">
        <v>0.3958333333333333</v>
      </c>
    </row>
    <row r="136" spans="1:16" ht="15">
      <c r="A136" s="8">
        <v>37855</v>
      </c>
      <c r="B136" t="s">
        <v>38</v>
      </c>
      <c r="D136">
        <v>89.75</v>
      </c>
      <c r="E136">
        <f t="shared" si="20"/>
        <v>-67.75</v>
      </c>
      <c r="F136">
        <v>88</v>
      </c>
      <c r="G136">
        <f t="shared" si="21"/>
        <v>-65.5</v>
      </c>
      <c r="H136">
        <v>41.5</v>
      </c>
      <c r="I136">
        <f t="shared" si="22"/>
        <v>-18</v>
      </c>
      <c r="J136">
        <v>49.5</v>
      </c>
      <c r="K136">
        <f t="shared" si="23"/>
        <v>-34</v>
      </c>
      <c r="L136">
        <v>92</v>
      </c>
      <c r="M136">
        <f t="shared" si="24"/>
        <v>-68.5</v>
      </c>
      <c r="N136">
        <v>49</v>
      </c>
      <c r="P136" s="9">
        <v>0.5833333333333334</v>
      </c>
    </row>
    <row r="137" spans="1:14" ht="15">
      <c r="A137" s="8">
        <v>37860</v>
      </c>
      <c r="B137">
        <v>92.75</v>
      </c>
      <c r="C137">
        <f t="shared" si="19"/>
        <v>-67.25</v>
      </c>
      <c r="D137">
        <v>89.25</v>
      </c>
      <c r="E137">
        <f t="shared" si="20"/>
        <v>-67.25</v>
      </c>
      <c r="F137">
        <v>87.5</v>
      </c>
      <c r="G137">
        <f t="shared" si="21"/>
        <v>-65</v>
      </c>
      <c r="H137">
        <v>39.75</v>
      </c>
      <c r="I137">
        <f t="shared" si="22"/>
        <v>-16.25</v>
      </c>
      <c r="J137">
        <v>48.75</v>
      </c>
      <c r="K137">
        <f t="shared" si="23"/>
        <v>-33.25</v>
      </c>
      <c r="L137" t="s">
        <v>38</v>
      </c>
      <c r="N137">
        <v>59</v>
      </c>
    </row>
    <row r="138" spans="1:16" ht="15">
      <c r="A138" s="8">
        <v>37904</v>
      </c>
      <c r="B138" t="s">
        <v>38</v>
      </c>
      <c r="D138">
        <v>93</v>
      </c>
      <c r="E138">
        <f t="shared" si="20"/>
        <v>-71</v>
      </c>
      <c r="F138">
        <v>91.75</v>
      </c>
      <c r="G138">
        <f t="shared" si="21"/>
        <v>-69.25</v>
      </c>
      <c r="H138">
        <v>44.25</v>
      </c>
      <c r="I138">
        <f t="shared" si="22"/>
        <v>-20.75</v>
      </c>
      <c r="J138">
        <v>52.25</v>
      </c>
      <c r="K138">
        <f t="shared" si="23"/>
        <v>-36.75</v>
      </c>
      <c r="L138" t="s">
        <v>38</v>
      </c>
      <c r="N138">
        <v>94</v>
      </c>
      <c r="P138" t="s">
        <v>73</v>
      </c>
    </row>
    <row r="139" spans="1:16" ht="15">
      <c r="A139" s="8">
        <v>38110</v>
      </c>
      <c r="B139" t="s">
        <v>38</v>
      </c>
      <c r="D139">
        <f>7.66*12</f>
        <v>91.92</v>
      </c>
      <c r="E139">
        <f t="shared" si="20"/>
        <v>-69.92</v>
      </c>
      <c r="F139">
        <f>7.46*12</f>
        <v>89.52</v>
      </c>
      <c r="G139">
        <f t="shared" si="21"/>
        <v>-67.02</v>
      </c>
      <c r="H139">
        <f>3.41*12</f>
        <v>40.92</v>
      </c>
      <c r="I139">
        <f t="shared" si="22"/>
        <v>-17.42</v>
      </c>
      <c r="J139">
        <f>4.34*12</f>
        <v>52.08</v>
      </c>
      <c r="K139">
        <f t="shared" si="23"/>
        <v>-36.58</v>
      </c>
      <c r="L139">
        <f>7.67*12</f>
        <v>92.03999999999999</v>
      </c>
      <c r="M139">
        <f t="shared" si="24"/>
        <v>-68.53999999999999</v>
      </c>
      <c r="N139">
        <v>64</v>
      </c>
      <c r="P139" t="s">
        <v>74</v>
      </c>
    </row>
    <row r="140" spans="1:14" ht="15">
      <c r="A140" s="8">
        <v>38113</v>
      </c>
      <c r="B140">
        <f>7.74*12</f>
        <v>92.88</v>
      </c>
      <c r="C140">
        <f t="shared" si="19"/>
        <v>-67.38</v>
      </c>
      <c r="D140">
        <f>7.55*12</f>
        <v>90.6</v>
      </c>
      <c r="E140">
        <f t="shared" si="20"/>
        <v>-68.6</v>
      </c>
      <c r="F140">
        <f>7.3*12</f>
        <v>87.6</v>
      </c>
      <c r="G140">
        <f t="shared" si="21"/>
        <v>-65.1</v>
      </c>
      <c r="H140">
        <f>3.26*12</f>
        <v>39.12</v>
      </c>
      <c r="I140">
        <f t="shared" si="22"/>
        <v>-15.619999999999997</v>
      </c>
      <c r="J140">
        <f>4.16*12</f>
        <v>49.92</v>
      </c>
      <c r="K140">
        <f t="shared" si="23"/>
        <v>-34.42</v>
      </c>
      <c r="L140">
        <f>7.44*12</f>
        <v>89.28</v>
      </c>
      <c r="M140">
        <f t="shared" si="24"/>
        <v>-65.78</v>
      </c>
      <c r="N140">
        <v>76</v>
      </c>
    </row>
    <row r="141" spans="1:16" ht="15">
      <c r="A141" s="8">
        <v>38123</v>
      </c>
      <c r="B141">
        <v>93.25</v>
      </c>
      <c r="C141">
        <f t="shared" si="19"/>
        <v>-67.75</v>
      </c>
      <c r="D141">
        <v>89.75</v>
      </c>
      <c r="E141">
        <f t="shared" si="20"/>
        <v>-67.75</v>
      </c>
      <c r="F141">
        <v>87.75</v>
      </c>
      <c r="G141">
        <f t="shared" si="21"/>
        <v>-65.25</v>
      </c>
      <c r="H141">
        <v>39.75</v>
      </c>
      <c r="I141">
        <f t="shared" si="22"/>
        <v>-16.25</v>
      </c>
      <c r="J141">
        <v>50.25</v>
      </c>
      <c r="K141">
        <f t="shared" si="23"/>
        <v>-34.75</v>
      </c>
      <c r="L141">
        <v>90.25</v>
      </c>
      <c r="M141">
        <f t="shared" si="24"/>
        <v>-66.75</v>
      </c>
      <c r="N141">
        <v>67</v>
      </c>
      <c r="P141" t="s">
        <v>75</v>
      </c>
    </row>
    <row r="142" spans="1:16" ht="15">
      <c r="A142" s="8">
        <v>38127</v>
      </c>
      <c r="B142">
        <v>93</v>
      </c>
      <c r="C142">
        <f t="shared" si="19"/>
        <v>-67.5</v>
      </c>
      <c r="D142">
        <v>89.5</v>
      </c>
      <c r="E142">
        <f t="shared" si="20"/>
        <v>-67.5</v>
      </c>
      <c r="F142">
        <v>87.25</v>
      </c>
      <c r="G142">
        <f t="shared" si="21"/>
        <v>-64.75</v>
      </c>
      <c r="H142">
        <v>39.75</v>
      </c>
      <c r="I142">
        <f t="shared" si="22"/>
        <v>-16.25</v>
      </c>
      <c r="J142">
        <v>49.25</v>
      </c>
      <c r="K142">
        <f t="shared" si="23"/>
        <v>-33.75</v>
      </c>
      <c r="L142">
        <v>91</v>
      </c>
      <c r="M142">
        <f t="shared" si="24"/>
        <v>-67.5</v>
      </c>
      <c r="N142">
        <v>68</v>
      </c>
      <c r="P142" t="s">
        <v>76</v>
      </c>
    </row>
    <row r="143" spans="1:16" ht="15">
      <c r="A143" s="8">
        <v>38130</v>
      </c>
      <c r="B143">
        <v>93</v>
      </c>
      <c r="C143">
        <f t="shared" si="19"/>
        <v>-67.5</v>
      </c>
      <c r="D143">
        <v>89.25</v>
      </c>
      <c r="E143">
        <f t="shared" si="20"/>
        <v>-67.25</v>
      </c>
      <c r="F143">
        <v>90</v>
      </c>
      <c r="G143">
        <f t="shared" si="21"/>
        <v>-67.5</v>
      </c>
      <c r="H143">
        <v>40</v>
      </c>
      <c r="I143">
        <f t="shared" si="22"/>
        <v>-16.5</v>
      </c>
      <c r="J143">
        <v>49.5</v>
      </c>
      <c r="K143">
        <f t="shared" si="23"/>
        <v>-34</v>
      </c>
      <c r="L143">
        <v>91</v>
      </c>
      <c r="M143">
        <f t="shared" si="24"/>
        <v>-67.5</v>
      </c>
      <c r="N143">
        <v>66</v>
      </c>
      <c r="P143" t="s">
        <v>77</v>
      </c>
    </row>
    <row r="144" spans="1:16" ht="15">
      <c r="A144" s="8">
        <v>38133</v>
      </c>
      <c r="B144" t="s">
        <v>38</v>
      </c>
      <c r="D144">
        <v>89.5</v>
      </c>
      <c r="E144">
        <f t="shared" si="20"/>
        <v>-67.5</v>
      </c>
      <c r="F144">
        <v>87.75</v>
      </c>
      <c r="G144">
        <f t="shared" si="21"/>
        <v>-65.25</v>
      </c>
      <c r="H144">
        <v>40</v>
      </c>
      <c r="I144">
        <f t="shared" si="22"/>
        <v>-16.5</v>
      </c>
      <c r="J144">
        <v>49.75</v>
      </c>
      <c r="K144">
        <f t="shared" si="23"/>
        <v>-34.25</v>
      </c>
      <c r="L144" t="s">
        <v>38</v>
      </c>
      <c r="N144">
        <v>66</v>
      </c>
      <c r="P144" t="s">
        <v>78</v>
      </c>
    </row>
    <row r="145" spans="1:16" ht="15">
      <c r="A145" s="8">
        <v>38138</v>
      </c>
      <c r="B145">
        <v>92.5</v>
      </c>
      <c r="C145">
        <f t="shared" si="19"/>
        <v>-67</v>
      </c>
      <c r="D145">
        <v>88.75</v>
      </c>
      <c r="E145">
        <f t="shared" si="20"/>
        <v>-66.75</v>
      </c>
      <c r="F145">
        <v>86.5</v>
      </c>
      <c r="G145">
        <f t="shared" si="21"/>
        <v>-64</v>
      </c>
      <c r="H145">
        <v>38.75</v>
      </c>
      <c r="I145">
        <f t="shared" si="22"/>
        <v>-15.25</v>
      </c>
      <c r="J145">
        <v>48.5</v>
      </c>
      <c r="K145">
        <f t="shared" si="23"/>
        <v>-33</v>
      </c>
      <c r="L145">
        <v>89.75</v>
      </c>
      <c r="M145">
        <f t="shared" si="24"/>
        <v>-66.25</v>
      </c>
      <c r="N145">
        <v>74</v>
      </c>
      <c r="P145" t="s">
        <v>79</v>
      </c>
    </row>
    <row r="146" spans="1:16" ht="15">
      <c r="A146" s="8">
        <v>38139</v>
      </c>
      <c r="B146">
        <v>92.75</v>
      </c>
      <c r="C146">
        <f t="shared" si="19"/>
        <v>-67.25</v>
      </c>
      <c r="D146">
        <v>88.5</v>
      </c>
      <c r="E146">
        <f t="shared" si="20"/>
        <v>-66.5</v>
      </c>
      <c r="F146">
        <v>85</v>
      </c>
      <c r="G146">
        <f t="shared" si="21"/>
        <v>-62.5</v>
      </c>
      <c r="H146">
        <v>37.75</v>
      </c>
      <c r="I146">
        <f t="shared" si="22"/>
        <v>-14.25</v>
      </c>
      <c r="J146">
        <v>48.25</v>
      </c>
      <c r="K146">
        <f t="shared" si="23"/>
        <v>-32.75</v>
      </c>
      <c r="L146">
        <v>90</v>
      </c>
      <c r="M146">
        <f t="shared" si="24"/>
        <v>-66.5</v>
      </c>
      <c r="N146">
        <v>77</v>
      </c>
      <c r="P146" t="s">
        <v>80</v>
      </c>
    </row>
    <row r="147" spans="1:16" ht="15">
      <c r="A147" s="8">
        <v>38140</v>
      </c>
      <c r="B147">
        <v>90</v>
      </c>
      <c r="C147">
        <f t="shared" si="19"/>
        <v>-64.5</v>
      </c>
      <c r="D147">
        <v>87.15</v>
      </c>
      <c r="E147">
        <f t="shared" si="20"/>
        <v>-65.15</v>
      </c>
      <c r="F147">
        <v>82.75</v>
      </c>
      <c r="G147">
        <f t="shared" si="21"/>
        <v>-60.25</v>
      </c>
      <c r="H147">
        <v>33.5</v>
      </c>
      <c r="I147">
        <f t="shared" si="22"/>
        <v>-10</v>
      </c>
      <c r="J147">
        <v>47</v>
      </c>
      <c r="K147">
        <f t="shared" si="23"/>
        <v>-31.5</v>
      </c>
      <c r="L147">
        <v>84.5</v>
      </c>
      <c r="M147">
        <f t="shared" si="24"/>
        <v>-61</v>
      </c>
      <c r="N147">
        <v>99</v>
      </c>
      <c r="P147" s="9">
        <v>0.625</v>
      </c>
    </row>
    <row r="148" spans="1:16" ht="15">
      <c r="A148" s="8">
        <v>38182</v>
      </c>
      <c r="B148">
        <v>93</v>
      </c>
      <c r="C148">
        <f t="shared" si="19"/>
        <v>-67.5</v>
      </c>
      <c r="D148">
        <v>86</v>
      </c>
      <c r="E148">
        <f t="shared" si="20"/>
        <v>-64</v>
      </c>
      <c r="F148">
        <v>84.25</v>
      </c>
      <c r="G148">
        <f t="shared" si="21"/>
        <v>-61.75</v>
      </c>
      <c r="H148">
        <v>40</v>
      </c>
      <c r="I148">
        <f t="shared" si="22"/>
        <v>-16.5</v>
      </c>
      <c r="J148">
        <v>48.5</v>
      </c>
      <c r="K148">
        <f t="shared" si="23"/>
        <v>-33</v>
      </c>
      <c r="L148">
        <v>89.5</v>
      </c>
      <c r="M148">
        <f t="shared" si="24"/>
        <v>-66</v>
      </c>
      <c r="N148">
        <v>75</v>
      </c>
      <c r="P148" t="s">
        <v>81</v>
      </c>
    </row>
    <row r="149" spans="1:16" ht="15">
      <c r="A149" s="8">
        <v>38189</v>
      </c>
      <c r="B149" t="s">
        <v>38</v>
      </c>
      <c r="D149">
        <v>89.75</v>
      </c>
      <c r="E149">
        <f t="shared" si="20"/>
        <v>-67.75</v>
      </c>
      <c r="F149">
        <v>84.75</v>
      </c>
      <c r="G149">
        <f t="shared" si="21"/>
        <v>-62.25</v>
      </c>
      <c r="H149">
        <v>40.75</v>
      </c>
      <c r="I149">
        <f t="shared" si="22"/>
        <v>-17.25</v>
      </c>
      <c r="J149">
        <v>49</v>
      </c>
      <c r="K149">
        <f t="shared" si="23"/>
        <v>-33.5</v>
      </c>
      <c r="L149">
        <v>91.25</v>
      </c>
      <c r="M149">
        <f t="shared" si="24"/>
        <v>-67.75</v>
      </c>
      <c r="N149">
        <v>61</v>
      </c>
      <c r="P149" t="s">
        <v>82</v>
      </c>
    </row>
    <row r="150" spans="1:16" ht="15">
      <c r="A150" s="8">
        <v>38196</v>
      </c>
      <c r="B150">
        <v>91</v>
      </c>
      <c r="C150">
        <f t="shared" si="19"/>
        <v>-65.5</v>
      </c>
      <c r="D150">
        <v>88.25</v>
      </c>
      <c r="E150">
        <f t="shared" si="20"/>
        <v>-66.25</v>
      </c>
      <c r="F150">
        <v>86.5</v>
      </c>
      <c r="G150">
        <f t="shared" si="21"/>
        <v>-64</v>
      </c>
      <c r="H150">
        <v>40.5</v>
      </c>
      <c r="I150">
        <f t="shared" si="22"/>
        <v>-17</v>
      </c>
      <c r="J150">
        <v>50.75</v>
      </c>
      <c r="K150">
        <f t="shared" si="23"/>
        <v>-35.25</v>
      </c>
      <c r="L150">
        <v>90.5</v>
      </c>
      <c r="M150">
        <f t="shared" si="24"/>
        <v>-67</v>
      </c>
      <c r="N150">
        <v>67</v>
      </c>
      <c r="P150" t="s">
        <v>81</v>
      </c>
    </row>
    <row r="151" spans="1:16" ht="15">
      <c r="A151" s="8">
        <v>38201</v>
      </c>
      <c r="B151" t="s">
        <v>38</v>
      </c>
      <c r="D151">
        <v>89.25</v>
      </c>
      <c r="E151">
        <f t="shared" si="20"/>
        <v>-67.25</v>
      </c>
      <c r="F151">
        <v>87</v>
      </c>
      <c r="G151">
        <f t="shared" si="21"/>
        <v>-64.5</v>
      </c>
      <c r="H151">
        <v>42</v>
      </c>
      <c r="I151">
        <f t="shared" si="22"/>
        <v>-18.5</v>
      </c>
      <c r="J151">
        <v>50</v>
      </c>
      <c r="K151">
        <f t="shared" si="23"/>
        <v>-34.5</v>
      </c>
      <c r="L151">
        <v>91.75</v>
      </c>
      <c r="M151">
        <f t="shared" si="24"/>
        <v>-68.25</v>
      </c>
      <c r="N151">
        <v>63</v>
      </c>
      <c r="P151" t="s">
        <v>83</v>
      </c>
    </row>
    <row r="152" spans="1:16" ht="15">
      <c r="A152" s="8">
        <v>38210</v>
      </c>
      <c r="B152" t="s">
        <v>38</v>
      </c>
      <c r="D152">
        <v>90.25</v>
      </c>
      <c r="E152">
        <f t="shared" si="20"/>
        <v>-68.25</v>
      </c>
      <c r="F152">
        <v>88</v>
      </c>
      <c r="G152">
        <f t="shared" si="21"/>
        <v>-65.5</v>
      </c>
      <c r="H152">
        <v>42.25</v>
      </c>
      <c r="I152">
        <f t="shared" si="22"/>
        <v>-18.75</v>
      </c>
      <c r="J152">
        <v>50.5</v>
      </c>
      <c r="K152">
        <f t="shared" si="23"/>
        <v>-35</v>
      </c>
      <c r="L152" t="s">
        <v>38</v>
      </c>
      <c r="N152">
        <v>62</v>
      </c>
      <c r="P152" t="s">
        <v>84</v>
      </c>
    </row>
    <row r="153" spans="1:16" ht="15">
      <c r="A153" s="8">
        <v>38217</v>
      </c>
      <c r="B153" t="s">
        <v>38</v>
      </c>
      <c r="D153">
        <v>89</v>
      </c>
      <c r="E153">
        <f t="shared" si="20"/>
        <v>-67</v>
      </c>
      <c r="F153">
        <v>87.75</v>
      </c>
      <c r="G153">
        <f t="shared" si="21"/>
        <v>-65.25</v>
      </c>
      <c r="H153">
        <v>42.25</v>
      </c>
      <c r="I153">
        <f t="shared" si="22"/>
        <v>-18.75</v>
      </c>
      <c r="J153">
        <v>50</v>
      </c>
      <c r="K153">
        <f t="shared" si="23"/>
        <v>-34.5</v>
      </c>
      <c r="L153" t="s">
        <v>38</v>
      </c>
      <c r="N153">
        <v>49</v>
      </c>
      <c r="P153" t="s">
        <v>85</v>
      </c>
    </row>
    <row r="154" spans="1:17" ht="15">
      <c r="A154" s="8">
        <v>38489</v>
      </c>
      <c r="B154">
        <v>91</v>
      </c>
      <c r="C154">
        <f aca="true" t="shared" si="25" ref="C154:C184">-(B154-25.5)</f>
        <v>-65.5</v>
      </c>
      <c r="D154">
        <v>88</v>
      </c>
      <c r="E154">
        <f t="shared" si="20"/>
        <v>-66</v>
      </c>
      <c r="F154">
        <v>85</v>
      </c>
      <c r="G154">
        <f t="shared" si="21"/>
        <v>-62.5</v>
      </c>
      <c r="H154">
        <v>38.25</v>
      </c>
      <c r="I154">
        <f t="shared" si="22"/>
        <v>-14.75</v>
      </c>
      <c r="J154">
        <v>46.5</v>
      </c>
      <c r="K154">
        <f t="shared" si="23"/>
        <v>-31</v>
      </c>
      <c r="L154">
        <v>83.5</v>
      </c>
      <c r="M154">
        <f aca="true" t="shared" si="26" ref="M154:M184">-(L154-23.5)</f>
        <v>-60</v>
      </c>
      <c r="N154">
        <v>118</v>
      </c>
      <c r="P154" t="s">
        <v>86</v>
      </c>
      <c r="Q154" t="s">
        <v>87</v>
      </c>
    </row>
    <row r="155" spans="1:17" ht="15">
      <c r="A155" s="8">
        <v>38529</v>
      </c>
      <c r="B155">
        <v>75</v>
      </c>
      <c r="C155">
        <f t="shared" si="25"/>
        <v>-49.5</v>
      </c>
      <c r="D155">
        <v>60.5</v>
      </c>
      <c r="E155">
        <f t="shared" si="20"/>
        <v>-38.5</v>
      </c>
      <c r="F155">
        <v>51</v>
      </c>
      <c r="G155">
        <f t="shared" si="21"/>
        <v>-28.5</v>
      </c>
      <c r="H155">
        <v>17</v>
      </c>
      <c r="I155">
        <f t="shared" si="22"/>
        <v>6.5</v>
      </c>
      <c r="J155">
        <v>25.5</v>
      </c>
      <c r="K155">
        <f t="shared" si="23"/>
        <v>-10</v>
      </c>
      <c r="L155">
        <v>67.25</v>
      </c>
      <c r="M155">
        <f t="shared" si="26"/>
        <v>-43.75</v>
      </c>
      <c r="N155">
        <v>463</v>
      </c>
      <c r="P155" t="s">
        <v>88</v>
      </c>
      <c r="Q155" t="s">
        <v>89</v>
      </c>
    </row>
    <row r="156" spans="1:17" ht="15">
      <c r="A156" s="8">
        <v>38533</v>
      </c>
      <c r="B156">
        <v>74.25</v>
      </c>
      <c r="C156">
        <f t="shared" si="25"/>
        <v>-48.75</v>
      </c>
      <c r="D156">
        <v>59</v>
      </c>
      <c r="E156">
        <f t="shared" si="20"/>
        <v>-37</v>
      </c>
      <c r="F156">
        <v>48.75</v>
      </c>
      <c r="G156">
        <f t="shared" si="21"/>
        <v>-26.25</v>
      </c>
      <c r="H156">
        <v>16</v>
      </c>
      <c r="I156">
        <f t="shared" si="22"/>
        <v>7.5</v>
      </c>
      <c r="J156">
        <v>27.75</v>
      </c>
      <c r="K156">
        <f t="shared" si="23"/>
        <v>-12.25</v>
      </c>
      <c r="L156">
        <v>66.5</v>
      </c>
      <c r="M156">
        <f t="shared" si="26"/>
        <v>-43</v>
      </c>
      <c r="N156">
        <v>473</v>
      </c>
      <c r="P156" t="s">
        <v>65</v>
      </c>
      <c r="Q156" t="s">
        <v>90</v>
      </c>
    </row>
    <row r="157" spans="1:17" ht="15">
      <c r="A157" s="8">
        <v>38536</v>
      </c>
      <c r="B157">
        <v>78.5</v>
      </c>
      <c r="C157">
        <f t="shared" si="25"/>
        <v>-53</v>
      </c>
      <c r="D157">
        <v>62.5</v>
      </c>
      <c r="E157">
        <f t="shared" si="20"/>
        <v>-40.5</v>
      </c>
      <c r="F157">
        <v>52</v>
      </c>
      <c r="G157">
        <f t="shared" si="21"/>
        <v>-29.5</v>
      </c>
      <c r="H157">
        <v>19.25</v>
      </c>
      <c r="I157">
        <f t="shared" si="22"/>
        <v>4.25</v>
      </c>
      <c r="J157">
        <v>26.5</v>
      </c>
      <c r="K157">
        <f t="shared" si="23"/>
        <v>-11</v>
      </c>
      <c r="L157">
        <v>69.5</v>
      </c>
      <c r="M157">
        <f t="shared" si="26"/>
        <v>-46</v>
      </c>
      <c r="N157">
        <v>402</v>
      </c>
      <c r="P157" t="s">
        <v>91</v>
      </c>
      <c r="Q157" t="s">
        <v>92</v>
      </c>
    </row>
    <row r="158" spans="1:17" ht="15">
      <c r="A158" s="8">
        <v>38538</v>
      </c>
      <c r="B158">
        <v>79.5</v>
      </c>
      <c r="C158">
        <f t="shared" si="25"/>
        <v>-54</v>
      </c>
      <c r="D158">
        <v>63.75</v>
      </c>
      <c r="E158">
        <f t="shared" si="20"/>
        <v>-41.75</v>
      </c>
      <c r="F158">
        <v>53</v>
      </c>
      <c r="G158">
        <f t="shared" si="21"/>
        <v>-30.5</v>
      </c>
      <c r="H158">
        <v>20.25</v>
      </c>
      <c r="I158">
        <f t="shared" si="22"/>
        <v>3.25</v>
      </c>
      <c r="J158">
        <v>27.5</v>
      </c>
      <c r="K158">
        <f t="shared" si="23"/>
        <v>-12</v>
      </c>
      <c r="L158">
        <v>69.75</v>
      </c>
      <c r="M158">
        <f t="shared" si="26"/>
        <v>-46.25</v>
      </c>
      <c r="N158">
        <v>360</v>
      </c>
      <c r="P158" t="s">
        <v>88</v>
      </c>
      <c r="Q158" t="s">
        <v>93</v>
      </c>
    </row>
    <row r="159" spans="1:16" ht="15">
      <c r="A159" s="8">
        <v>38539</v>
      </c>
      <c r="B159">
        <v>80</v>
      </c>
      <c r="C159">
        <f t="shared" si="25"/>
        <v>-54.5</v>
      </c>
      <c r="D159">
        <v>64</v>
      </c>
      <c r="E159">
        <f t="shared" si="20"/>
        <v>-42</v>
      </c>
      <c r="F159">
        <v>53.5</v>
      </c>
      <c r="G159">
        <f t="shared" si="21"/>
        <v>-31</v>
      </c>
      <c r="H159">
        <v>20.75</v>
      </c>
      <c r="I159">
        <f t="shared" si="22"/>
        <v>2.75</v>
      </c>
      <c r="J159">
        <v>27.75</v>
      </c>
      <c r="K159">
        <f t="shared" si="23"/>
        <v>-12.25</v>
      </c>
      <c r="L159">
        <v>70</v>
      </c>
      <c r="M159">
        <f t="shared" si="26"/>
        <v>-46.5</v>
      </c>
      <c r="N159">
        <v>361</v>
      </c>
      <c r="P159" t="s">
        <v>94</v>
      </c>
    </row>
    <row r="160" spans="1:17" ht="15">
      <c r="A160" s="8">
        <v>38543</v>
      </c>
      <c r="B160">
        <v>81.25</v>
      </c>
      <c r="C160">
        <f t="shared" si="25"/>
        <v>-55.75</v>
      </c>
      <c r="D160">
        <v>66.5</v>
      </c>
      <c r="E160">
        <f t="shared" si="20"/>
        <v>-44.5</v>
      </c>
      <c r="F160">
        <v>57</v>
      </c>
      <c r="G160">
        <f t="shared" si="21"/>
        <v>-34.5</v>
      </c>
      <c r="H160">
        <v>23.75</v>
      </c>
      <c r="I160">
        <f t="shared" si="22"/>
        <v>-0.25</v>
      </c>
      <c r="J160">
        <v>29.5</v>
      </c>
      <c r="K160">
        <f t="shared" si="23"/>
        <v>-14</v>
      </c>
      <c r="L160">
        <v>71.5</v>
      </c>
      <c r="M160">
        <f t="shared" si="26"/>
        <v>-48</v>
      </c>
      <c r="N160">
        <v>308</v>
      </c>
      <c r="P160" t="s">
        <v>95</v>
      </c>
      <c r="Q160" t="s">
        <v>96</v>
      </c>
    </row>
    <row r="161" spans="1:17" ht="15">
      <c r="A161" s="8">
        <v>38548</v>
      </c>
      <c r="B161">
        <v>82</v>
      </c>
      <c r="C161">
        <f t="shared" si="25"/>
        <v>-56.5</v>
      </c>
      <c r="D161">
        <v>68.25</v>
      </c>
      <c r="E161">
        <f t="shared" si="20"/>
        <v>-46.25</v>
      </c>
      <c r="H161">
        <v>25</v>
      </c>
      <c r="I161">
        <f t="shared" si="22"/>
        <v>-1.5</v>
      </c>
      <c r="J161">
        <v>31</v>
      </c>
      <c r="K161">
        <f t="shared" si="23"/>
        <v>-15.5</v>
      </c>
      <c r="L161">
        <v>72</v>
      </c>
      <c r="M161">
        <f t="shared" si="26"/>
        <v>-48.5</v>
      </c>
      <c r="N161">
        <v>292</v>
      </c>
      <c r="P161" t="s">
        <v>97</v>
      </c>
      <c r="Q161" t="s">
        <v>98</v>
      </c>
    </row>
    <row r="162" spans="1:17" ht="15">
      <c r="A162" s="8">
        <v>38554</v>
      </c>
      <c r="B162">
        <v>81.5</v>
      </c>
      <c r="C162">
        <f t="shared" si="25"/>
        <v>-56</v>
      </c>
      <c r="D162">
        <v>67.75</v>
      </c>
      <c r="E162">
        <f t="shared" si="20"/>
        <v>-45.75</v>
      </c>
      <c r="F162">
        <v>59.25</v>
      </c>
      <c r="G162">
        <f t="shared" si="21"/>
        <v>-36.75</v>
      </c>
      <c r="H162">
        <v>25</v>
      </c>
      <c r="I162">
        <f t="shared" si="22"/>
        <v>-1.5</v>
      </c>
      <c r="J162">
        <v>31.75</v>
      </c>
      <c r="K162">
        <f t="shared" si="23"/>
        <v>-16.25</v>
      </c>
      <c r="L162">
        <v>71.75</v>
      </c>
      <c r="M162">
        <f t="shared" si="26"/>
        <v>-48.25</v>
      </c>
      <c r="N162">
        <v>286</v>
      </c>
      <c r="P162" t="s">
        <v>99</v>
      </c>
      <c r="Q162" t="s">
        <v>100</v>
      </c>
    </row>
    <row r="163" spans="1:17" ht="15">
      <c r="A163" s="8">
        <v>38561</v>
      </c>
      <c r="B163">
        <v>83.25</v>
      </c>
      <c r="C163">
        <f t="shared" si="25"/>
        <v>-57.75</v>
      </c>
      <c r="D163">
        <v>70.75</v>
      </c>
      <c r="E163">
        <f t="shared" si="20"/>
        <v>-48.75</v>
      </c>
      <c r="F163">
        <v>62.25</v>
      </c>
      <c r="G163">
        <f t="shared" si="21"/>
        <v>-39.75</v>
      </c>
      <c r="H163">
        <v>27.75</v>
      </c>
      <c r="I163">
        <f t="shared" si="22"/>
        <v>-4.25</v>
      </c>
      <c r="J163">
        <v>33.25</v>
      </c>
      <c r="K163">
        <f t="shared" si="23"/>
        <v>-17.75</v>
      </c>
      <c r="L163">
        <v>73.5</v>
      </c>
      <c r="M163">
        <f t="shared" si="26"/>
        <v>-50</v>
      </c>
      <c r="N163">
        <v>248</v>
      </c>
      <c r="P163" t="s">
        <v>101</v>
      </c>
      <c r="Q163" t="s">
        <v>102</v>
      </c>
    </row>
    <row r="164" spans="1:16" ht="15">
      <c r="A164" s="8">
        <v>38568</v>
      </c>
      <c r="B164">
        <v>87.5</v>
      </c>
      <c r="C164">
        <f t="shared" si="25"/>
        <v>-62</v>
      </c>
      <c r="D164">
        <v>76.5</v>
      </c>
      <c r="E164">
        <f t="shared" si="20"/>
        <v>-54.5</v>
      </c>
      <c r="F164">
        <v>71.5</v>
      </c>
      <c r="G164">
        <f t="shared" si="21"/>
        <v>-49</v>
      </c>
      <c r="H164">
        <v>33.5</v>
      </c>
      <c r="I164">
        <f t="shared" si="22"/>
        <v>-10</v>
      </c>
      <c r="J164">
        <v>36.5</v>
      </c>
      <c r="K164">
        <f t="shared" si="23"/>
        <v>-21</v>
      </c>
      <c r="L164">
        <v>77.75</v>
      </c>
      <c r="M164">
        <f t="shared" si="26"/>
        <v>-54.25</v>
      </c>
      <c r="N164">
        <v>149</v>
      </c>
      <c r="P164" t="s">
        <v>103</v>
      </c>
    </row>
    <row r="165" spans="1:16" ht="15">
      <c r="A165" s="8">
        <v>38574</v>
      </c>
      <c r="B165">
        <v>88.25</v>
      </c>
      <c r="C165">
        <f t="shared" si="25"/>
        <v>-62.75</v>
      </c>
      <c r="D165">
        <v>78</v>
      </c>
      <c r="E165">
        <f t="shared" si="20"/>
        <v>-56</v>
      </c>
      <c r="F165">
        <v>71.75</v>
      </c>
      <c r="G165">
        <f t="shared" si="21"/>
        <v>-49.25</v>
      </c>
      <c r="H165">
        <v>34.25</v>
      </c>
      <c r="I165">
        <f t="shared" si="22"/>
        <v>-10.75</v>
      </c>
      <c r="J165">
        <v>39</v>
      </c>
      <c r="K165">
        <f t="shared" si="23"/>
        <v>-23.5</v>
      </c>
      <c r="L165">
        <v>78.25</v>
      </c>
      <c r="M165">
        <f t="shared" si="26"/>
        <v>-54.75</v>
      </c>
      <c r="N165">
        <v>135</v>
      </c>
      <c r="P165" t="s">
        <v>79</v>
      </c>
    </row>
    <row r="166" spans="1:17" ht="15">
      <c r="A166" s="8">
        <v>38580</v>
      </c>
      <c r="B166">
        <v>89.5</v>
      </c>
      <c r="C166">
        <f t="shared" si="25"/>
        <v>-64</v>
      </c>
      <c r="D166">
        <v>80.75</v>
      </c>
      <c r="E166">
        <f t="shared" si="20"/>
        <v>-58.75</v>
      </c>
      <c r="F166">
        <v>75.75</v>
      </c>
      <c r="G166">
        <f t="shared" si="21"/>
        <v>-53.25</v>
      </c>
      <c r="H166">
        <v>38.25</v>
      </c>
      <c r="I166">
        <f t="shared" si="22"/>
        <v>-14.75</v>
      </c>
      <c r="J166">
        <v>43</v>
      </c>
      <c r="K166">
        <f t="shared" si="23"/>
        <v>-27.5</v>
      </c>
      <c r="L166">
        <v>81</v>
      </c>
      <c r="M166">
        <f t="shared" si="26"/>
        <v>-57.5</v>
      </c>
      <c r="N166">
        <v>98</v>
      </c>
      <c r="P166" t="s">
        <v>104</v>
      </c>
      <c r="Q166" t="s">
        <v>105</v>
      </c>
    </row>
    <row r="167" spans="1:17" ht="15">
      <c r="A167" s="8">
        <v>38586</v>
      </c>
      <c r="B167">
        <v>90.25</v>
      </c>
      <c r="C167">
        <f t="shared" si="25"/>
        <v>-64.75</v>
      </c>
      <c r="D167">
        <v>82</v>
      </c>
      <c r="E167">
        <f t="shared" si="20"/>
        <v>-60</v>
      </c>
      <c r="F167">
        <v>77.25</v>
      </c>
      <c r="G167">
        <f t="shared" si="21"/>
        <v>-54.75</v>
      </c>
      <c r="H167">
        <v>39.75</v>
      </c>
      <c r="I167">
        <f t="shared" si="22"/>
        <v>-16.25</v>
      </c>
      <c r="J167">
        <v>45.25</v>
      </c>
      <c r="K167">
        <f t="shared" si="23"/>
        <v>-29.75</v>
      </c>
      <c r="L167">
        <v>82</v>
      </c>
      <c r="M167">
        <f t="shared" si="26"/>
        <v>-58.5</v>
      </c>
      <c r="N167">
        <v>78</v>
      </c>
      <c r="P167" t="s">
        <v>19</v>
      </c>
      <c r="Q167" t="s">
        <v>106</v>
      </c>
    </row>
    <row r="168" spans="1:17" ht="15">
      <c r="A168" s="8">
        <v>38599</v>
      </c>
      <c r="C168">
        <v>-69.5</v>
      </c>
      <c r="E168">
        <v>-63.25</v>
      </c>
      <c r="G168">
        <v>-60.37</v>
      </c>
      <c r="I168">
        <v>-19.75</v>
      </c>
      <c r="K168">
        <v>-32.75</v>
      </c>
      <c r="M168">
        <v>-61.25</v>
      </c>
      <c r="N168">
        <v>60</v>
      </c>
      <c r="Q168" t="s">
        <v>109</v>
      </c>
    </row>
    <row r="169" spans="1:17" ht="15">
      <c r="A169" s="8">
        <v>38601</v>
      </c>
      <c r="B169">
        <v>92</v>
      </c>
      <c r="C169">
        <f t="shared" si="25"/>
        <v>-66.5</v>
      </c>
      <c r="D169">
        <v>84.75</v>
      </c>
      <c r="E169">
        <f t="shared" si="20"/>
        <v>-62.75</v>
      </c>
      <c r="F169">
        <v>80.75</v>
      </c>
      <c r="G169">
        <f t="shared" si="21"/>
        <v>-58.25</v>
      </c>
      <c r="H169">
        <v>42.5</v>
      </c>
      <c r="I169">
        <f t="shared" si="22"/>
        <v>-19</v>
      </c>
      <c r="J169">
        <v>47.75</v>
      </c>
      <c r="K169">
        <f t="shared" si="23"/>
        <v>-32.25</v>
      </c>
      <c r="L169">
        <v>85</v>
      </c>
      <c r="M169">
        <f t="shared" si="26"/>
        <v>-61.5</v>
      </c>
      <c r="N169">
        <v>60</v>
      </c>
      <c r="P169" t="s">
        <v>107</v>
      </c>
      <c r="Q169" t="s">
        <v>108</v>
      </c>
    </row>
    <row r="170" spans="1:17" ht="15">
      <c r="A170" s="8">
        <v>38614</v>
      </c>
      <c r="C170">
        <v>-68.75</v>
      </c>
      <c r="E170">
        <v>-63.75</v>
      </c>
      <c r="G170">
        <v>-61.25</v>
      </c>
      <c r="I170">
        <v>-20.75</v>
      </c>
      <c r="K170">
        <v>-36.5</v>
      </c>
      <c r="M170">
        <v>-61.25</v>
      </c>
      <c r="N170">
        <v>57</v>
      </c>
      <c r="Q170" t="s">
        <v>109</v>
      </c>
    </row>
    <row r="171" spans="1:17" ht="15">
      <c r="A171" s="8">
        <v>38820</v>
      </c>
      <c r="B171">
        <v>91.5</v>
      </c>
      <c r="C171">
        <f t="shared" si="25"/>
        <v>-66</v>
      </c>
      <c r="D171">
        <v>85.25</v>
      </c>
      <c r="E171">
        <f t="shared" si="20"/>
        <v>-63.25</v>
      </c>
      <c r="F171">
        <v>80.25</v>
      </c>
      <c r="G171">
        <f t="shared" si="21"/>
        <v>-57.75</v>
      </c>
      <c r="H171">
        <v>40.75</v>
      </c>
      <c r="I171">
        <f t="shared" si="22"/>
        <v>-17.25</v>
      </c>
      <c r="J171">
        <v>46</v>
      </c>
      <c r="K171">
        <f t="shared" si="23"/>
        <v>-30.5</v>
      </c>
      <c r="L171">
        <v>81.75</v>
      </c>
      <c r="M171">
        <f t="shared" si="26"/>
        <v>-58.25</v>
      </c>
      <c r="N171">
        <v>82</v>
      </c>
      <c r="P171" t="s">
        <v>110</v>
      </c>
      <c r="Q171" t="s">
        <v>111</v>
      </c>
    </row>
    <row r="172" spans="1:17" ht="15">
      <c r="A172" s="8">
        <v>38840</v>
      </c>
      <c r="B172">
        <v>89.75</v>
      </c>
      <c r="C172">
        <f t="shared" si="25"/>
        <v>-64.25</v>
      </c>
      <c r="D172">
        <v>82</v>
      </c>
      <c r="E172">
        <f t="shared" si="20"/>
        <v>-60</v>
      </c>
      <c r="F172">
        <v>76.25</v>
      </c>
      <c r="G172">
        <f t="shared" si="21"/>
        <v>-53.75</v>
      </c>
      <c r="H172">
        <v>36.5</v>
      </c>
      <c r="I172">
        <f t="shared" si="22"/>
        <v>-13</v>
      </c>
      <c r="J172">
        <v>43.25</v>
      </c>
      <c r="K172">
        <f t="shared" si="23"/>
        <v>-27.75</v>
      </c>
      <c r="L172">
        <v>79</v>
      </c>
      <c r="M172">
        <f t="shared" si="26"/>
        <v>-55.5</v>
      </c>
      <c r="N172">
        <v>119</v>
      </c>
      <c r="P172" t="s">
        <v>79</v>
      </c>
      <c r="Q172" t="s">
        <v>112</v>
      </c>
    </row>
    <row r="173" spans="1:17" ht="15">
      <c r="A173" s="8">
        <v>38867</v>
      </c>
      <c r="B173">
        <v>82.25</v>
      </c>
      <c r="C173">
        <f t="shared" si="25"/>
        <v>-56.75</v>
      </c>
      <c r="D173">
        <v>68.75</v>
      </c>
      <c r="E173">
        <f t="shared" si="20"/>
        <v>-46.75</v>
      </c>
      <c r="F173">
        <v>59</v>
      </c>
      <c r="G173">
        <f t="shared" si="21"/>
        <v>-36.5</v>
      </c>
      <c r="H173">
        <v>24.75</v>
      </c>
      <c r="I173">
        <f t="shared" si="22"/>
        <v>-1.25</v>
      </c>
      <c r="J173">
        <v>31.5</v>
      </c>
      <c r="K173">
        <f t="shared" si="23"/>
        <v>-16</v>
      </c>
      <c r="L173">
        <v>70</v>
      </c>
      <c r="M173">
        <f t="shared" si="26"/>
        <v>-46.5</v>
      </c>
      <c r="N173">
        <v>299</v>
      </c>
      <c r="P173" t="s">
        <v>113</v>
      </c>
      <c r="Q173" t="s">
        <v>114</v>
      </c>
    </row>
    <row r="174" spans="1:17" ht="15">
      <c r="A174" s="8">
        <v>38876</v>
      </c>
      <c r="B174">
        <v>71.25</v>
      </c>
      <c r="C174">
        <f t="shared" si="25"/>
        <v>-45.75</v>
      </c>
      <c r="D174">
        <v>59</v>
      </c>
      <c r="E174">
        <f t="shared" si="20"/>
        <v>-37</v>
      </c>
      <c r="F174">
        <v>50.75</v>
      </c>
      <c r="G174">
        <f t="shared" si="21"/>
        <v>-28.25</v>
      </c>
      <c r="H174">
        <v>16.5</v>
      </c>
      <c r="I174">
        <f t="shared" si="22"/>
        <v>7</v>
      </c>
      <c r="J174">
        <v>24.75</v>
      </c>
      <c r="K174">
        <f t="shared" si="23"/>
        <v>-9.25</v>
      </c>
      <c r="L174">
        <v>62.25</v>
      </c>
      <c r="M174">
        <f t="shared" si="26"/>
        <v>-38.75</v>
      </c>
      <c r="N174">
        <v>589</v>
      </c>
      <c r="P174" t="s">
        <v>115</v>
      </c>
      <c r="Q174" t="s">
        <v>127</v>
      </c>
    </row>
    <row r="175" spans="1:17" ht="15">
      <c r="A175" s="8">
        <v>38885</v>
      </c>
      <c r="B175">
        <v>73.75</v>
      </c>
      <c r="C175">
        <f t="shared" si="25"/>
        <v>-48.25</v>
      </c>
      <c r="D175">
        <v>60.5</v>
      </c>
      <c r="E175">
        <f t="shared" si="20"/>
        <v>-38.5</v>
      </c>
      <c r="F175">
        <v>53</v>
      </c>
      <c r="G175">
        <f t="shared" si="21"/>
        <v>-30.5</v>
      </c>
      <c r="H175">
        <v>19</v>
      </c>
      <c r="I175">
        <f t="shared" si="22"/>
        <v>4.5</v>
      </c>
      <c r="J175">
        <v>25</v>
      </c>
      <c r="K175">
        <f t="shared" si="23"/>
        <v>-9.5</v>
      </c>
      <c r="L175">
        <v>63.75</v>
      </c>
      <c r="M175">
        <f t="shared" si="26"/>
        <v>-40.25</v>
      </c>
      <c r="N175">
        <v>489</v>
      </c>
      <c r="P175" s="9">
        <v>0.4583333333333333</v>
      </c>
      <c r="Q175" t="s">
        <v>116</v>
      </c>
    </row>
    <row r="176" spans="1:17" ht="15">
      <c r="A176" s="8">
        <v>38894</v>
      </c>
      <c r="B176">
        <v>72.25</v>
      </c>
      <c r="C176">
        <f t="shared" si="25"/>
        <v>-46.75</v>
      </c>
      <c r="D176">
        <v>59</v>
      </c>
      <c r="E176">
        <f t="shared" si="20"/>
        <v>-37</v>
      </c>
      <c r="F176">
        <v>50.5</v>
      </c>
      <c r="G176">
        <f t="shared" si="21"/>
        <v>-28</v>
      </c>
      <c r="H176">
        <v>15.75</v>
      </c>
      <c r="I176">
        <f t="shared" si="22"/>
        <v>7.75</v>
      </c>
      <c r="J176">
        <v>23.25</v>
      </c>
      <c r="K176">
        <f t="shared" si="23"/>
        <v>-7.75</v>
      </c>
      <c r="L176">
        <v>62.25</v>
      </c>
      <c r="M176">
        <f t="shared" si="26"/>
        <v>-38.75</v>
      </c>
      <c r="N176">
        <v>583</v>
      </c>
      <c r="P176" t="s">
        <v>117</v>
      </c>
      <c r="Q176" t="s">
        <v>128</v>
      </c>
    </row>
    <row r="177" spans="1:16" ht="15">
      <c r="A177" s="8">
        <v>38902</v>
      </c>
      <c r="B177">
        <v>74.25</v>
      </c>
      <c r="C177">
        <f t="shared" si="25"/>
        <v>-48.75</v>
      </c>
      <c r="D177">
        <v>60.25</v>
      </c>
      <c r="E177">
        <f t="shared" si="20"/>
        <v>-38.25</v>
      </c>
      <c r="F177">
        <v>52.25</v>
      </c>
      <c r="G177">
        <f t="shared" si="21"/>
        <v>-29.75</v>
      </c>
      <c r="H177">
        <v>17</v>
      </c>
      <c r="I177">
        <f t="shared" si="22"/>
        <v>6.5</v>
      </c>
      <c r="J177">
        <v>23.75</v>
      </c>
      <c r="K177">
        <f t="shared" si="23"/>
        <v>-8.25</v>
      </c>
      <c r="L177">
        <v>63</v>
      </c>
      <c r="M177">
        <f t="shared" si="26"/>
        <v>-39.5</v>
      </c>
      <c r="N177">
        <v>536</v>
      </c>
      <c r="P177" t="s">
        <v>40</v>
      </c>
    </row>
    <row r="178" spans="1:17" ht="15">
      <c r="A178" s="8">
        <v>38911</v>
      </c>
      <c r="B178">
        <v>76</v>
      </c>
      <c r="C178">
        <f t="shared" si="25"/>
        <v>-50.5</v>
      </c>
      <c r="D178">
        <v>61.5</v>
      </c>
      <c r="E178">
        <f t="shared" si="20"/>
        <v>-39.5</v>
      </c>
      <c r="F178">
        <v>53</v>
      </c>
      <c r="G178">
        <f t="shared" si="21"/>
        <v>-30.5</v>
      </c>
      <c r="H178">
        <v>17.5</v>
      </c>
      <c r="I178">
        <f t="shared" si="22"/>
        <v>6</v>
      </c>
      <c r="J178">
        <v>24</v>
      </c>
      <c r="K178">
        <f t="shared" si="23"/>
        <v>-8.5</v>
      </c>
      <c r="L178">
        <v>64</v>
      </c>
      <c r="M178">
        <f t="shared" si="26"/>
        <v>-40.5</v>
      </c>
      <c r="N178">
        <v>480</v>
      </c>
      <c r="P178" t="s">
        <v>118</v>
      </c>
      <c r="Q178" t="s">
        <v>119</v>
      </c>
    </row>
    <row r="179" spans="1:17" ht="15">
      <c r="A179" s="8">
        <v>38923</v>
      </c>
      <c r="B179">
        <v>81</v>
      </c>
      <c r="C179">
        <f t="shared" si="25"/>
        <v>-55.5</v>
      </c>
      <c r="D179">
        <v>67.5</v>
      </c>
      <c r="E179">
        <f t="shared" si="20"/>
        <v>-45.5</v>
      </c>
      <c r="F179">
        <v>59.75</v>
      </c>
      <c r="G179">
        <f t="shared" si="21"/>
        <v>-37.25</v>
      </c>
      <c r="H179">
        <v>22.25</v>
      </c>
      <c r="I179">
        <f t="shared" si="22"/>
        <v>1.25</v>
      </c>
      <c r="J179">
        <v>27.25</v>
      </c>
      <c r="K179">
        <f t="shared" si="23"/>
        <v>-11.75</v>
      </c>
      <c r="L179">
        <v>67.75</v>
      </c>
      <c r="M179">
        <f t="shared" si="26"/>
        <v>-44.25</v>
      </c>
      <c r="N179">
        <v>354</v>
      </c>
      <c r="P179" t="s">
        <v>120</v>
      </c>
      <c r="Q179" t="s">
        <v>129</v>
      </c>
    </row>
    <row r="180" spans="1:16" ht="15">
      <c r="A180" s="8">
        <v>38938</v>
      </c>
      <c r="B180">
        <v>88.5</v>
      </c>
      <c r="C180">
        <f t="shared" si="25"/>
        <v>-63</v>
      </c>
      <c r="D180">
        <v>76.5</v>
      </c>
      <c r="E180">
        <f t="shared" si="20"/>
        <v>-54.5</v>
      </c>
      <c r="F180">
        <v>69.5</v>
      </c>
      <c r="G180">
        <f t="shared" si="21"/>
        <v>-47</v>
      </c>
      <c r="H180">
        <v>29.5</v>
      </c>
      <c r="I180">
        <f t="shared" si="22"/>
        <v>-6</v>
      </c>
      <c r="J180">
        <v>34</v>
      </c>
      <c r="K180">
        <f t="shared" si="23"/>
        <v>-18.5</v>
      </c>
      <c r="L180">
        <v>74.25</v>
      </c>
      <c r="M180">
        <f t="shared" si="26"/>
        <v>-50.75</v>
      </c>
      <c r="N180">
        <v>160</v>
      </c>
      <c r="P180" t="s">
        <v>121</v>
      </c>
    </row>
    <row r="181" spans="1:17" ht="15">
      <c r="A181" s="8">
        <v>38943</v>
      </c>
      <c r="B181">
        <v>89.75</v>
      </c>
      <c r="C181">
        <f t="shared" si="25"/>
        <v>-64.25</v>
      </c>
      <c r="D181">
        <v>78.5</v>
      </c>
      <c r="E181">
        <f t="shared" si="20"/>
        <v>-56.5</v>
      </c>
      <c r="F181">
        <v>73</v>
      </c>
      <c r="G181">
        <f t="shared" si="21"/>
        <v>-50.5</v>
      </c>
      <c r="H181">
        <v>32.5</v>
      </c>
      <c r="I181">
        <f t="shared" si="22"/>
        <v>-9</v>
      </c>
      <c r="J181">
        <v>36.5</v>
      </c>
      <c r="K181">
        <f t="shared" si="23"/>
        <v>-21</v>
      </c>
      <c r="L181">
        <v>77</v>
      </c>
      <c r="M181">
        <f t="shared" si="26"/>
        <v>-53.5</v>
      </c>
      <c r="N181">
        <v>108</v>
      </c>
      <c r="P181" s="9">
        <v>0.3909722222222222</v>
      </c>
      <c r="Q181" t="s">
        <v>122</v>
      </c>
    </row>
    <row r="182" spans="1:16" ht="15">
      <c r="A182" s="8">
        <v>38960</v>
      </c>
      <c r="B182">
        <v>91.5</v>
      </c>
      <c r="C182">
        <f t="shared" si="25"/>
        <v>-66</v>
      </c>
      <c r="D182">
        <v>80.5</v>
      </c>
      <c r="E182">
        <f t="shared" si="20"/>
        <v>-58.5</v>
      </c>
      <c r="F182">
        <v>75.5</v>
      </c>
      <c r="G182">
        <f t="shared" si="21"/>
        <v>-53</v>
      </c>
      <c r="H182">
        <v>34.75</v>
      </c>
      <c r="I182">
        <f t="shared" si="22"/>
        <v>-11.25</v>
      </c>
      <c r="J182">
        <v>40.5</v>
      </c>
      <c r="K182">
        <f t="shared" si="23"/>
        <v>-25</v>
      </c>
      <c r="L182">
        <v>78.25</v>
      </c>
      <c r="M182">
        <f t="shared" si="26"/>
        <v>-54.75</v>
      </c>
      <c r="N182">
        <v>90</v>
      </c>
      <c r="P182" t="s">
        <v>123</v>
      </c>
    </row>
    <row r="183" spans="1:16" ht="15">
      <c r="A183" s="8">
        <v>38974</v>
      </c>
      <c r="B183" t="s">
        <v>64</v>
      </c>
      <c r="D183">
        <v>83.25</v>
      </c>
      <c r="E183">
        <f t="shared" si="20"/>
        <v>-61.25</v>
      </c>
      <c r="F183">
        <v>78.75</v>
      </c>
      <c r="G183">
        <f t="shared" si="21"/>
        <v>-56.25</v>
      </c>
      <c r="H183">
        <v>38.25</v>
      </c>
      <c r="I183">
        <f t="shared" si="22"/>
        <v>-14.75</v>
      </c>
      <c r="J183">
        <v>41.75</v>
      </c>
      <c r="K183">
        <f t="shared" si="23"/>
        <v>-26.25</v>
      </c>
      <c r="L183">
        <v>82.5</v>
      </c>
      <c r="M183">
        <f t="shared" si="26"/>
        <v>-59</v>
      </c>
      <c r="N183">
        <v>58</v>
      </c>
      <c r="P183" t="s">
        <v>124</v>
      </c>
    </row>
    <row r="184" spans="1:17" ht="15">
      <c r="A184" s="8">
        <v>39006</v>
      </c>
      <c r="B184">
        <v>91</v>
      </c>
      <c r="C184">
        <f t="shared" si="25"/>
        <v>-65.5</v>
      </c>
      <c r="D184">
        <v>82.25</v>
      </c>
      <c r="E184">
        <f t="shared" si="20"/>
        <v>-60.25</v>
      </c>
      <c r="F184">
        <v>77.75</v>
      </c>
      <c r="G184">
        <f t="shared" si="21"/>
        <v>-55.25</v>
      </c>
      <c r="H184">
        <v>36.25</v>
      </c>
      <c r="I184">
        <f t="shared" si="22"/>
        <v>-12.75</v>
      </c>
      <c r="J184">
        <v>41.75</v>
      </c>
      <c r="K184">
        <f t="shared" si="23"/>
        <v>-26.25</v>
      </c>
      <c r="L184">
        <v>78.5</v>
      </c>
      <c r="M184">
        <f t="shared" si="26"/>
        <v>-55</v>
      </c>
      <c r="N184">
        <v>86</v>
      </c>
      <c r="P184" t="s">
        <v>125</v>
      </c>
      <c r="Q184" t="s">
        <v>126</v>
      </c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  <row r="201" ht="15">
      <c r="A201" s="8"/>
    </row>
    <row r="202" ht="15">
      <c r="A202" s="8"/>
    </row>
    <row r="203" ht="15">
      <c r="A203" s="8"/>
    </row>
    <row r="204" ht="15">
      <c r="A204" s="8"/>
    </row>
    <row r="205" ht="15">
      <c r="A205" s="8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8"/>
    </row>
    <row r="211" ht="15">
      <c r="A211" s="8"/>
    </row>
    <row r="212" ht="15">
      <c r="A212" s="8"/>
    </row>
    <row r="213" ht="15">
      <c r="A213" s="8"/>
    </row>
    <row r="214" ht="15">
      <c r="A214" s="8"/>
    </row>
    <row r="215" ht="15">
      <c r="A215" s="8"/>
    </row>
    <row r="216" ht="15">
      <c r="A216" s="8"/>
    </row>
    <row r="217" ht="15">
      <c r="A217" s="8"/>
    </row>
    <row r="218" ht="15">
      <c r="A218" s="8"/>
    </row>
    <row r="219" ht="15">
      <c r="A219" s="8"/>
    </row>
    <row r="220" ht="15">
      <c r="A220" s="8"/>
    </row>
    <row r="221" ht="15">
      <c r="A221" s="8"/>
    </row>
    <row r="222" ht="15">
      <c r="A222" s="8"/>
    </row>
    <row r="223" ht="15">
      <c r="A223" s="8"/>
    </row>
    <row r="224" ht="15">
      <c r="A224" s="8"/>
    </row>
    <row r="225" ht="15">
      <c r="A225" s="8"/>
    </row>
    <row r="226" ht="15">
      <c r="A226" s="8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8"/>
    </row>
    <row r="234" ht="15">
      <c r="A234" s="8"/>
    </row>
    <row r="235" ht="15">
      <c r="A235" s="8"/>
    </row>
    <row r="236" ht="15">
      <c r="A236" s="8"/>
    </row>
    <row r="237" ht="15">
      <c r="A237" s="8"/>
    </row>
    <row r="238" ht="15">
      <c r="A238" s="8"/>
    </row>
    <row r="239" ht="15">
      <c r="A239" s="8"/>
    </row>
    <row r="240" ht="15">
      <c r="A240" s="8"/>
    </row>
    <row r="241" ht="15">
      <c r="A241" s="8"/>
    </row>
    <row r="242" ht="15">
      <c r="A242" s="8"/>
    </row>
    <row r="243" ht="15">
      <c r="A243" s="8"/>
    </row>
    <row r="244" ht="15">
      <c r="A244" s="8"/>
    </row>
    <row r="245" ht="15">
      <c r="A245" s="8"/>
    </row>
  </sheetData>
  <printOptions/>
  <pageMargins left="0.5" right="0.5" top="0.5" bottom="0.55" header="0.5" footer="0.5"/>
  <pageSetup horizontalDpi="300" verticalDpi="300" orientation="portrait" scale="96" r:id="rId1"/>
  <headerFooter alignWithMargins="0">
    <oddFooter>&amp;CCompiled by the Mono Lake Committee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 Lake Committee</dc:creator>
  <cp:keywords/>
  <dc:description/>
  <cp:lastModifiedBy>greis</cp:lastModifiedBy>
  <cp:lastPrinted>1999-11-11T00:09:03Z</cp:lastPrinted>
  <dcterms:created xsi:type="dcterms:W3CDTF">1997-07-19T00:16:26Z</dcterms:created>
  <dcterms:modified xsi:type="dcterms:W3CDTF">2006-10-23T23:34:12Z</dcterms:modified>
  <cp:category/>
  <cp:version/>
  <cp:contentType/>
  <cp:contentStatus/>
</cp:coreProperties>
</file>